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sanjeevbr\Desktop\Society\AGM\FY2020-2021\"/>
    </mc:Choice>
  </mc:AlternateContent>
  <xr:revisionPtr revIDLastSave="0" documentId="13_ncr:1_{1FBF750D-2649-4EFC-A6D3-28D16D9EA815}" xr6:coauthVersionLast="46" xr6:coauthVersionMax="46" xr10:uidLastSave="{00000000-0000-0000-0000-000000000000}"/>
  <bookViews>
    <workbookView xWindow="-120" yWindow="-120" windowWidth="20730" windowHeight="11160" firstSheet="16" activeTab="19" xr2:uid="{00000000-000D-0000-FFFF-FFFF00000000}"/>
  </bookViews>
  <sheets>
    <sheet name="FY17-18 Inc" sheetId="15" r:id="rId1"/>
    <sheet name="Fy17-18 Exp" sheetId="14" r:id="rId2"/>
    <sheet name="FY16-17-Exp" sheetId="11" r:id="rId3"/>
    <sheet name="FY16-17-Inc" sheetId="10" r:id="rId4"/>
    <sheet name="FY15-16-Exp" sheetId="13" r:id="rId5"/>
    <sheet name="FY15-16-Inc" sheetId="12" r:id="rId6"/>
    <sheet name="FY14-15-Inc" sheetId="9" r:id="rId7"/>
    <sheet name="FY14-15-Exp" sheetId="8" r:id="rId8"/>
    <sheet name="FY13-14-Exp" sheetId="6" r:id="rId9"/>
    <sheet name="FY13-14-Income" sheetId="7" r:id="rId10"/>
    <sheet name="FY12-13-Exp" sheetId="3" r:id="rId11"/>
    <sheet name="FY12-13-Income" sheetId="4" r:id="rId12"/>
    <sheet name="FY11-12" sheetId="2" r:id="rId13"/>
    <sheet name="FY10-11" sheetId="1" r:id="rId14"/>
    <sheet name="Maintenance" sheetId="5" r:id="rId15"/>
    <sheet name="2018-19 Expenses" sheetId="16" r:id="rId16"/>
    <sheet name="2019-20 income " sheetId="19" r:id="rId17"/>
    <sheet name="2018-19 income" sheetId="17" r:id="rId18"/>
    <sheet name="2019-20 expenses (2)" sheetId="20" r:id="rId19"/>
    <sheet name="2020-21 expenses" sheetId="18" r:id="rId20"/>
    <sheet name="2020-21 income" sheetId="21" r:id="rId21"/>
  </sheets>
  <externalReferences>
    <externalReference r:id="rId2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18" l="1"/>
  <c r="E22" i="18"/>
  <c r="E21" i="18"/>
  <c r="B22" i="21"/>
  <c r="C20" i="21"/>
  <c r="R14" i="21"/>
  <c r="Q14" i="21"/>
  <c r="Q22" i="21" s="1"/>
  <c r="P14" i="21"/>
  <c r="O14" i="21"/>
  <c r="N14" i="21"/>
  <c r="M14" i="21"/>
  <c r="L14" i="21"/>
  <c r="L22" i="21" s="1"/>
  <c r="K14" i="21"/>
  <c r="J14" i="21"/>
  <c r="I14" i="21"/>
  <c r="H14" i="21"/>
  <c r="G14" i="21"/>
  <c r="G22" i="21" s="1"/>
  <c r="F14" i="21"/>
  <c r="F22" i="21" s="1"/>
  <c r="E14" i="21"/>
  <c r="E22" i="21" s="1"/>
  <c r="D14" i="21"/>
  <c r="D22" i="21" s="1"/>
  <c r="C14" i="21"/>
  <c r="C22" i="21" s="1"/>
  <c r="B14" i="21"/>
  <c r="S13" i="21"/>
  <c r="S12" i="21"/>
  <c r="S11" i="21"/>
  <c r="S10" i="21"/>
  <c r="S9" i="21"/>
  <c r="S8" i="21"/>
  <c r="S7" i="21"/>
  <c r="S6" i="21"/>
  <c r="S5" i="21"/>
  <c r="S4" i="21"/>
  <c r="S3" i="21"/>
  <c r="S2" i="21"/>
  <c r="S14" i="21" l="1"/>
  <c r="AE19" i="18"/>
  <c r="AB19" i="18"/>
  <c r="Z19" i="18"/>
  <c r="Y19" i="18"/>
  <c r="X19" i="18"/>
  <c r="U19" i="18"/>
  <c r="S19" i="18"/>
  <c r="P19" i="18"/>
  <c r="O19" i="18"/>
  <c r="N19" i="18"/>
  <c r="M19" i="18"/>
  <c r="J19" i="18"/>
  <c r="F19" i="18"/>
  <c r="E19" i="18"/>
  <c r="B19" i="18"/>
  <c r="AM15" i="20" l="1"/>
  <c r="AL15" i="20"/>
  <c r="AK15" i="20"/>
  <c r="AJ15" i="20"/>
  <c r="AI15" i="20"/>
  <c r="AH15" i="20"/>
  <c r="AG15" i="20"/>
  <c r="AF15" i="20"/>
  <c r="AE15" i="20"/>
  <c r="AD15" i="20"/>
  <c r="AC15" i="20"/>
  <c r="AB15" i="20"/>
  <c r="AA15" i="20"/>
  <c r="Z15" i="20"/>
  <c r="Y15" i="20"/>
  <c r="X15" i="20"/>
  <c r="W15" i="20"/>
  <c r="V15" i="20"/>
  <c r="U15" i="20"/>
  <c r="T15" i="20"/>
  <c r="S15" i="20"/>
  <c r="R15" i="20"/>
  <c r="Q15" i="20"/>
  <c r="P15" i="20"/>
  <c r="O15" i="20"/>
  <c r="N15" i="20"/>
  <c r="M15" i="20"/>
  <c r="L15" i="20"/>
  <c r="K15" i="20"/>
  <c r="J15" i="20"/>
  <c r="I15" i="20"/>
  <c r="H15" i="20"/>
  <c r="F15" i="20"/>
  <c r="E15" i="20"/>
  <c r="C15" i="20"/>
  <c r="B15" i="20"/>
  <c r="AN14" i="20"/>
  <c r="G14" i="20"/>
  <c r="D14" i="20"/>
  <c r="AN13" i="20"/>
  <c r="G13" i="20"/>
  <c r="D13" i="20"/>
  <c r="AN12" i="20"/>
  <c r="G12" i="20"/>
  <c r="D12" i="20"/>
  <c r="AN11" i="20"/>
  <c r="G11" i="20"/>
  <c r="D11" i="20"/>
  <c r="AN10" i="20"/>
  <c r="G10" i="20"/>
  <c r="D10" i="20"/>
  <c r="AN9" i="20"/>
  <c r="G9" i="20"/>
  <c r="D9" i="20"/>
  <c r="AN8" i="20"/>
  <c r="G8" i="20"/>
  <c r="D8" i="20"/>
  <c r="AN7" i="20"/>
  <c r="G7" i="20"/>
  <c r="D7" i="20"/>
  <c r="AN6" i="20"/>
  <c r="G6" i="20"/>
  <c r="D6" i="20"/>
  <c r="AN5" i="20"/>
  <c r="G5" i="20"/>
  <c r="D5" i="20"/>
  <c r="AN4" i="20"/>
  <c r="G4" i="20"/>
  <c r="D4" i="20"/>
  <c r="AN3" i="20"/>
  <c r="G3" i="20"/>
  <c r="D3" i="20"/>
  <c r="D15" i="20" s="1"/>
  <c r="G15" i="20" l="1"/>
  <c r="AN15" i="20"/>
  <c r="Q14" i="19" l="1"/>
  <c r="R3" i="19"/>
  <c r="R4" i="19"/>
  <c r="R5" i="19"/>
  <c r="R6" i="19"/>
  <c r="R7" i="19"/>
  <c r="R8" i="19"/>
  <c r="R9" i="19"/>
  <c r="R10" i="19"/>
  <c r="R11" i="19"/>
  <c r="R12" i="19"/>
  <c r="R13" i="19"/>
  <c r="R2" i="19"/>
  <c r="I14" i="19"/>
  <c r="P14" i="19"/>
  <c r="O14" i="19"/>
  <c r="N14" i="19"/>
  <c r="M14" i="19"/>
  <c r="L14" i="19"/>
  <c r="K14" i="19"/>
  <c r="J14" i="19"/>
  <c r="H14" i="19"/>
  <c r="G14" i="19"/>
  <c r="F14" i="19"/>
  <c r="E14" i="19"/>
  <c r="D14" i="19"/>
  <c r="C14" i="19"/>
  <c r="B14" i="19"/>
  <c r="R14" i="19" s="1"/>
  <c r="AH4" i="14" l="1"/>
  <c r="AH5" i="14"/>
  <c r="AH6" i="14"/>
  <c r="AH7" i="14"/>
  <c r="AH8" i="14"/>
  <c r="AH9" i="14"/>
  <c r="AH10" i="14"/>
  <c r="AH11" i="14"/>
  <c r="AH12" i="14"/>
  <c r="AH13" i="14"/>
  <c r="AH14" i="14"/>
  <c r="AH3" i="14"/>
  <c r="C15" i="16"/>
  <c r="D15" i="16"/>
  <c r="E15" i="16"/>
  <c r="F15" i="16"/>
  <c r="H15" i="16"/>
  <c r="I15" i="16"/>
  <c r="J15" i="16"/>
  <c r="K15" i="16"/>
  <c r="L15" i="16"/>
  <c r="M15" i="16"/>
  <c r="N15" i="16"/>
  <c r="O15" i="16"/>
  <c r="P15" i="16"/>
  <c r="Q15" i="16"/>
  <c r="R15" i="16"/>
  <c r="S15" i="16"/>
  <c r="T15" i="16"/>
  <c r="U15" i="16"/>
  <c r="V15" i="16"/>
  <c r="W15" i="16"/>
  <c r="X15" i="16"/>
  <c r="Y15" i="16"/>
  <c r="Z15" i="16"/>
  <c r="AA15" i="16"/>
  <c r="AB15" i="16"/>
  <c r="AC15" i="16"/>
  <c r="AD15" i="16"/>
  <c r="AE15" i="16"/>
  <c r="AF15" i="16"/>
  <c r="AG15" i="16"/>
  <c r="AH15" i="16"/>
  <c r="AI15" i="16"/>
  <c r="AJ15" i="16"/>
  <c r="AK15" i="16"/>
  <c r="B15" i="16"/>
  <c r="E17" i="16" l="1"/>
  <c r="G4" i="16"/>
  <c r="G5" i="16"/>
  <c r="G6" i="16"/>
  <c r="G7" i="16"/>
  <c r="G8" i="16"/>
  <c r="G9" i="16"/>
  <c r="G10" i="16"/>
  <c r="G11" i="16"/>
  <c r="G12" i="16"/>
  <c r="G13" i="16"/>
  <c r="G14" i="16"/>
  <c r="G3" i="16"/>
  <c r="G15" i="16" l="1"/>
  <c r="Q3" i="17"/>
  <c r="Q4" i="17"/>
  <c r="Q5" i="17"/>
  <c r="Q6" i="17"/>
  <c r="Q7" i="17"/>
  <c r="Q8" i="17"/>
  <c r="Q9" i="17"/>
  <c r="Q10" i="17"/>
  <c r="Q11" i="17"/>
  <c r="Q12" i="17"/>
  <c r="Q13" i="17"/>
  <c r="Q2" i="17"/>
  <c r="P14" i="17"/>
  <c r="O14" i="17"/>
  <c r="N14" i="17"/>
  <c r="M14" i="17"/>
  <c r="L14" i="17"/>
  <c r="K14" i="17"/>
  <c r="J14" i="17"/>
  <c r="I14" i="17"/>
  <c r="H14" i="17"/>
  <c r="G14" i="17"/>
  <c r="F14" i="17"/>
  <c r="E14" i="17"/>
  <c r="D14" i="17"/>
  <c r="C14" i="17"/>
  <c r="B14" i="17"/>
  <c r="D15" i="11"/>
  <c r="R18" i="15"/>
  <c r="P18" i="15"/>
  <c r="O18" i="15"/>
  <c r="N18" i="15"/>
  <c r="L18" i="15"/>
  <c r="K18" i="15"/>
  <c r="J18" i="15"/>
  <c r="I18" i="15"/>
  <c r="H18" i="15"/>
  <c r="G18" i="15"/>
  <c r="F18" i="15"/>
  <c r="E18" i="15"/>
  <c r="D18" i="15"/>
  <c r="C18" i="15"/>
  <c r="B18" i="15"/>
  <c r="M18" i="15" s="1"/>
  <c r="Q17" i="15"/>
  <c r="M17" i="15"/>
  <c r="Q16" i="15"/>
  <c r="M16" i="15"/>
  <c r="S16" i="15" s="1"/>
  <c r="Q15" i="15"/>
  <c r="M15" i="15"/>
  <c r="S15" i="15" s="1"/>
  <c r="Q14" i="15"/>
  <c r="M14" i="15"/>
  <c r="S14" i="15" s="1"/>
  <c r="Q13" i="15"/>
  <c r="M13" i="15"/>
  <c r="Q12" i="15"/>
  <c r="M12" i="15"/>
  <c r="Q11" i="15"/>
  <c r="M11" i="15"/>
  <c r="Q10" i="15"/>
  <c r="M10" i="15"/>
  <c r="S10" i="15" s="1"/>
  <c r="Q9" i="15"/>
  <c r="M9" i="15"/>
  <c r="Q8" i="15"/>
  <c r="M8" i="15"/>
  <c r="S8" i="15" s="1"/>
  <c r="Q7" i="15"/>
  <c r="M7" i="15"/>
  <c r="S7" i="15" s="1"/>
  <c r="Q6" i="15"/>
  <c r="M6" i="15"/>
  <c r="S6" i="15" s="1"/>
  <c r="AG15" i="14"/>
  <c r="AF15" i="14"/>
  <c r="AE15" i="14"/>
  <c r="AD15" i="14"/>
  <c r="AC15" i="14"/>
  <c r="AB15" i="14"/>
  <c r="AA15" i="14"/>
  <c r="Z15" i="14"/>
  <c r="Y15" i="14"/>
  <c r="X15" i="14"/>
  <c r="W15" i="14"/>
  <c r="V15" i="14"/>
  <c r="U15" i="14"/>
  <c r="T15" i="14"/>
  <c r="S15" i="14"/>
  <c r="R15" i="14"/>
  <c r="Q15" i="14"/>
  <c r="P15" i="14"/>
  <c r="O15" i="14"/>
  <c r="N15" i="14"/>
  <c r="M15" i="14"/>
  <c r="L15" i="14"/>
  <c r="K15" i="14"/>
  <c r="J15" i="14"/>
  <c r="I15" i="14"/>
  <c r="H15" i="14"/>
  <c r="G15" i="14"/>
  <c r="F15" i="14"/>
  <c r="E15" i="14"/>
  <c r="D15" i="14"/>
  <c r="C15" i="14"/>
  <c r="B15" i="14"/>
  <c r="S13" i="15" l="1"/>
  <c r="AH15" i="14"/>
  <c r="S9" i="15"/>
  <c r="S11" i="15"/>
  <c r="S12" i="15"/>
  <c r="S17" i="15"/>
  <c r="Q18" i="15"/>
  <c r="S18" i="15" s="1"/>
  <c r="C20" i="15"/>
  <c r="C21" i="15" s="1"/>
  <c r="Q14" i="17"/>
  <c r="C43" i="11"/>
  <c r="C42" i="11"/>
  <c r="C41" i="11"/>
  <c r="C40" i="11"/>
  <c r="C39" i="11"/>
  <c r="C23" i="11"/>
  <c r="K35" i="11"/>
  <c r="E19" i="11"/>
  <c r="AJ15" i="13" l="1"/>
  <c r="AC15" i="13"/>
  <c r="C15" i="12"/>
  <c r="B15" i="12"/>
  <c r="N9" i="12"/>
  <c r="N6" i="12"/>
  <c r="N5" i="12"/>
  <c r="N4" i="12"/>
  <c r="N3" i="12"/>
  <c r="S4" i="12"/>
  <c r="S3" i="12"/>
  <c r="AD5" i="13"/>
  <c r="AD3" i="13"/>
  <c r="N14" i="12"/>
  <c r="N13" i="12"/>
  <c r="N12" i="12"/>
  <c r="N11" i="12"/>
  <c r="N10" i="12"/>
  <c r="N8" i="12"/>
  <c r="N7" i="12"/>
  <c r="AL15" i="13" l="1"/>
  <c r="AK15" i="13"/>
  <c r="AI15" i="13"/>
  <c r="AH15" i="13"/>
  <c r="AG15" i="13"/>
  <c r="AF15" i="13"/>
  <c r="AB15" i="13"/>
  <c r="AA15" i="13"/>
  <c r="Z15" i="13"/>
  <c r="Y15" i="13"/>
  <c r="X15" i="13"/>
  <c r="W15" i="13"/>
  <c r="W16" i="11" s="1"/>
  <c r="V15" i="13"/>
  <c r="U15" i="13"/>
  <c r="U16" i="11" s="1"/>
  <c r="T15" i="13"/>
  <c r="T16" i="11" s="1"/>
  <c r="S15" i="13"/>
  <c r="S16" i="11" s="1"/>
  <c r="R15" i="13"/>
  <c r="R16" i="11" s="1"/>
  <c r="Q15" i="13"/>
  <c r="Q16" i="11" s="1"/>
  <c r="P15" i="13"/>
  <c r="P16" i="11" s="1"/>
  <c r="O15" i="13"/>
  <c r="O16" i="11" s="1"/>
  <c r="N15" i="13"/>
  <c r="N16" i="11" s="1"/>
  <c r="M15" i="13"/>
  <c r="M16" i="11" s="1"/>
  <c r="L15" i="13"/>
  <c r="L16" i="11" s="1"/>
  <c r="K15" i="13"/>
  <c r="K16" i="11" s="1"/>
  <c r="J15" i="13"/>
  <c r="J16" i="11" s="1"/>
  <c r="I15" i="13"/>
  <c r="I16" i="11" s="1"/>
  <c r="H15" i="13"/>
  <c r="H16" i="11" s="1"/>
  <c r="G15" i="13"/>
  <c r="G16" i="11" s="1"/>
  <c r="F15" i="13"/>
  <c r="F16" i="11" s="1"/>
  <c r="E15" i="13"/>
  <c r="E16" i="11" s="1"/>
  <c r="D15" i="13"/>
  <c r="D16" i="11" s="1"/>
  <c r="C15" i="13"/>
  <c r="C16" i="11" s="1"/>
  <c r="B15" i="13"/>
  <c r="B16" i="11" s="1"/>
  <c r="AD14" i="13"/>
  <c r="AD13" i="13"/>
  <c r="AD12" i="13"/>
  <c r="AD11" i="13"/>
  <c r="AD10" i="13"/>
  <c r="AE15" i="13"/>
  <c r="AD9" i="13"/>
  <c r="AD8" i="13"/>
  <c r="AD7" i="13"/>
  <c r="AD6" i="13"/>
  <c r="AD4" i="13"/>
  <c r="U15" i="12"/>
  <c r="T15" i="12"/>
  <c r="R15" i="12"/>
  <c r="Q15" i="12"/>
  <c r="P15" i="12"/>
  <c r="O15" i="12"/>
  <c r="M15" i="12"/>
  <c r="L15" i="12"/>
  <c r="K15" i="12"/>
  <c r="J15" i="12"/>
  <c r="I15" i="12"/>
  <c r="H15" i="12"/>
  <c r="G15" i="12"/>
  <c r="F15" i="12"/>
  <c r="E15" i="12"/>
  <c r="D15" i="12"/>
  <c r="V14" i="12"/>
  <c r="S14" i="12"/>
  <c r="W14" i="12" s="1"/>
  <c r="S13" i="12"/>
  <c r="W13" i="12" s="1"/>
  <c r="S12" i="12"/>
  <c r="S11" i="12"/>
  <c r="S10" i="12"/>
  <c r="W10" i="12" s="1"/>
  <c r="S9" i="12"/>
  <c r="S8" i="12"/>
  <c r="S7" i="12"/>
  <c r="S6" i="12"/>
  <c r="S5" i="12"/>
  <c r="V3" i="12"/>
  <c r="W3" i="12" s="1"/>
  <c r="J21" i="11"/>
  <c r="J23" i="11" s="1"/>
  <c r="F27" i="10"/>
  <c r="F28" i="10" s="1"/>
  <c r="D27" i="10"/>
  <c r="P27" i="11"/>
  <c r="O29" i="11" s="1"/>
  <c r="O30" i="11" s="1"/>
  <c r="Q37" i="11"/>
  <c r="P38" i="11" s="1"/>
  <c r="E22" i="11"/>
  <c r="C33" i="11"/>
  <c r="AM15" i="13" l="1"/>
  <c r="H27" i="10"/>
  <c r="AD15" i="13"/>
  <c r="W6" i="12"/>
  <c r="W8" i="12"/>
  <c r="V15" i="12"/>
  <c r="S15" i="12"/>
  <c r="W5" i="12"/>
  <c r="W7" i="12"/>
  <c r="W9" i="12"/>
  <c r="W11" i="12"/>
  <c r="W12" i="12"/>
  <c r="W4" i="12"/>
  <c r="N15" i="12"/>
  <c r="K32" i="11"/>
  <c r="J59" i="11" s="1"/>
  <c r="G31" i="11"/>
  <c r="G37" i="11"/>
  <c r="G48" i="11"/>
  <c r="F19" i="10"/>
  <c r="F23" i="10"/>
  <c r="D18" i="10"/>
  <c r="C22" i="10"/>
  <c r="F22" i="10" s="1"/>
  <c r="B22" i="10"/>
  <c r="C18" i="10"/>
  <c r="B18" i="10"/>
  <c r="C15" i="10"/>
  <c r="D15" i="10"/>
  <c r="E15" i="10"/>
  <c r="F15" i="10"/>
  <c r="G15" i="10"/>
  <c r="H15" i="10"/>
  <c r="I15" i="10"/>
  <c r="J15" i="10"/>
  <c r="K15" i="10"/>
  <c r="L15" i="10"/>
  <c r="M15" i="10"/>
  <c r="O15" i="10"/>
  <c r="P15" i="10"/>
  <c r="Q15" i="10"/>
  <c r="R15" i="10"/>
  <c r="F24" i="10" l="1"/>
  <c r="F18" i="10"/>
  <c r="F20" i="10" s="1"/>
  <c r="G55" i="11"/>
  <c r="G59" i="11" s="1"/>
  <c r="G61" i="11" s="1"/>
  <c r="W15" i="12"/>
  <c r="C17" i="11"/>
  <c r="AD5" i="11"/>
  <c r="AD6" i="11"/>
  <c r="AD7" i="11"/>
  <c r="AD8" i="11"/>
  <c r="AD9" i="11"/>
  <c r="AD10" i="11"/>
  <c r="AD11" i="11"/>
  <c r="AD12" i="11"/>
  <c r="AD13" i="11"/>
  <c r="AD14" i="11"/>
  <c r="AD4" i="11"/>
  <c r="AJ7" i="11"/>
  <c r="AJ15" i="11" s="1"/>
  <c r="V15" i="11"/>
  <c r="W15" i="11"/>
  <c r="X15" i="11"/>
  <c r="Y15" i="11"/>
  <c r="Z15" i="11"/>
  <c r="Z17" i="11" s="1"/>
  <c r="AA15" i="11"/>
  <c r="AB15" i="11"/>
  <c r="AC15" i="11"/>
  <c r="AC17" i="11" s="1"/>
  <c r="AF15" i="11"/>
  <c r="AG15" i="11"/>
  <c r="AH15" i="11"/>
  <c r="AI15" i="11"/>
  <c r="AK15" i="11"/>
  <c r="AL15" i="11"/>
  <c r="C15" i="11"/>
  <c r="E15" i="11"/>
  <c r="F15" i="11"/>
  <c r="G15" i="11"/>
  <c r="H15" i="11"/>
  <c r="I15" i="11"/>
  <c r="J15" i="11"/>
  <c r="K15" i="11"/>
  <c r="L15" i="11"/>
  <c r="L18" i="11" s="1"/>
  <c r="M15" i="11"/>
  <c r="M18" i="11" s="1"/>
  <c r="N15" i="11"/>
  <c r="N18" i="11" s="1"/>
  <c r="O15" i="11"/>
  <c r="O18" i="11" s="1"/>
  <c r="P15" i="11"/>
  <c r="Q15" i="11"/>
  <c r="R15" i="11"/>
  <c r="S15" i="11"/>
  <c r="T15" i="11"/>
  <c r="U15" i="11"/>
  <c r="U18" i="11" s="1"/>
  <c r="B15" i="11"/>
  <c r="AE9" i="11"/>
  <c r="AE10" i="11"/>
  <c r="H19" i="11" l="1"/>
  <c r="B30" i="11"/>
  <c r="C30" i="11" s="1"/>
  <c r="B38" i="11" s="1"/>
  <c r="C38" i="11" s="1"/>
  <c r="C32" i="11"/>
  <c r="G19" i="11"/>
  <c r="B29" i="11"/>
  <c r="C19" i="11"/>
  <c r="B25" i="11"/>
  <c r="D19" i="11"/>
  <c r="B26" i="11"/>
  <c r="F19" i="11"/>
  <c r="C28" i="11"/>
  <c r="B36" i="11" s="1"/>
  <c r="C36" i="11" s="1"/>
  <c r="C29" i="11"/>
  <c r="B37" i="11" s="1"/>
  <c r="C37" i="11" s="1"/>
  <c r="Q18" i="11"/>
  <c r="I19" i="11"/>
  <c r="B31" i="11"/>
  <c r="C31" i="11" s="1"/>
  <c r="C27" i="11"/>
  <c r="C35" i="11" s="1"/>
  <c r="B27" i="11"/>
  <c r="AE15" i="11"/>
  <c r="AM15" i="11" s="1"/>
  <c r="AD20" i="11" s="1"/>
  <c r="C25" i="11"/>
  <c r="AD15" i="11"/>
  <c r="AD3" i="11"/>
  <c r="U15" i="10"/>
  <c r="T15" i="10"/>
  <c r="B15" i="10"/>
  <c r="V14" i="10"/>
  <c r="S14" i="10"/>
  <c r="N14" i="10"/>
  <c r="S13" i="10"/>
  <c r="N13" i="10"/>
  <c r="S12" i="10"/>
  <c r="N12" i="10"/>
  <c r="S11" i="10"/>
  <c r="N11" i="10"/>
  <c r="S10" i="10"/>
  <c r="N10" i="10"/>
  <c r="S9" i="10"/>
  <c r="N9" i="10"/>
  <c r="S8" i="10"/>
  <c r="N8" i="10"/>
  <c r="S7" i="10"/>
  <c r="N7" i="10"/>
  <c r="S6" i="10"/>
  <c r="N6" i="10"/>
  <c r="S5" i="10"/>
  <c r="N5" i="10"/>
  <c r="S4" i="10"/>
  <c r="N4" i="10"/>
  <c r="V3" i="10"/>
  <c r="S3" i="10"/>
  <c r="N3" i="10"/>
  <c r="V15" i="10" l="1"/>
  <c r="AD17" i="11"/>
  <c r="AD21" i="11" s="1"/>
  <c r="AF17" i="11"/>
  <c r="AF20" i="11" s="1"/>
  <c r="AD22" i="11"/>
  <c r="H20" i="10"/>
  <c r="W10" i="10"/>
  <c r="W13" i="10"/>
  <c r="N15" i="10"/>
  <c r="S15" i="10"/>
  <c r="W9" i="10"/>
  <c r="W7" i="10"/>
  <c r="W5" i="10"/>
  <c r="W11" i="10"/>
  <c r="W14" i="10"/>
  <c r="W4" i="10"/>
  <c r="W3" i="10"/>
  <c r="W6" i="10"/>
  <c r="W12" i="10"/>
  <c r="W8" i="10"/>
  <c r="J5" i="9"/>
  <c r="I5" i="9"/>
  <c r="I3" i="9"/>
  <c r="AB3" i="8"/>
  <c r="D15" i="8"/>
  <c r="D30" i="8" s="1"/>
  <c r="D32" i="8" s="1"/>
  <c r="AD23" i="11" l="1"/>
  <c r="W15" i="10"/>
  <c r="D23" i="5"/>
  <c r="B22" i="5"/>
  <c r="D21" i="5"/>
  <c r="D20" i="5"/>
  <c r="D19" i="5"/>
  <c r="D15" i="5"/>
  <c r="B14" i="5"/>
  <c r="D13" i="5"/>
  <c r="D12" i="5"/>
  <c r="D11" i="5"/>
  <c r="D7" i="5"/>
  <c r="B6" i="5"/>
  <c r="D5" i="5"/>
  <c r="D4" i="5"/>
  <c r="D3" i="5"/>
  <c r="D28" i="5"/>
  <c r="D29" i="5"/>
  <c r="D30" i="5"/>
  <c r="B31" i="5"/>
  <c r="B33" i="5" s="1"/>
  <c r="D32" i="5"/>
  <c r="D22" i="5" l="1"/>
  <c r="D24" i="5" s="1"/>
  <c r="D14" i="5"/>
  <c r="D16" i="5" s="1"/>
  <c r="D31" i="5"/>
  <c r="D33" i="5" s="1"/>
  <c r="D6" i="5"/>
  <c r="D8" i="5" s="1"/>
  <c r="B15" i="8"/>
  <c r="F15" i="8"/>
  <c r="F30" i="8" s="1"/>
  <c r="F32" i="8" s="1"/>
  <c r="I15" i="8"/>
  <c r="I30" i="8" s="1"/>
  <c r="I32" i="8" s="1"/>
  <c r="J15" i="8"/>
  <c r="J30" i="8" s="1"/>
  <c r="J32" i="8" s="1"/>
  <c r="K15" i="8"/>
  <c r="K30" i="8" s="1"/>
  <c r="K32" i="8" s="1"/>
  <c r="L15" i="8"/>
  <c r="L30" i="8" s="1"/>
  <c r="L32" i="8" s="1"/>
  <c r="M15" i="8"/>
  <c r="N15" i="8"/>
  <c r="N30" i="8" s="1"/>
  <c r="N32" i="8" s="1"/>
  <c r="P15" i="8"/>
  <c r="G15" i="8"/>
  <c r="R15" i="8"/>
  <c r="H15" i="8" s="1"/>
  <c r="H30" i="8" s="1"/>
  <c r="H32" i="8" s="1"/>
  <c r="U15" i="9"/>
  <c r="T15" i="9"/>
  <c r="R15" i="9"/>
  <c r="P15" i="9"/>
  <c r="O15" i="9"/>
  <c r="G15" i="9"/>
  <c r="D15" i="9"/>
  <c r="C15" i="9"/>
  <c r="B15" i="9"/>
  <c r="V14" i="9"/>
  <c r="S14" i="9"/>
  <c r="N14" i="9"/>
  <c r="V13" i="9"/>
  <c r="S13" i="9"/>
  <c r="N13" i="9"/>
  <c r="V12" i="9"/>
  <c r="S12" i="9"/>
  <c r="N12" i="9"/>
  <c r="S11" i="9"/>
  <c r="N11" i="9"/>
  <c r="V10" i="9"/>
  <c r="S10" i="9"/>
  <c r="N10" i="9"/>
  <c r="S9" i="9"/>
  <c r="N9" i="9"/>
  <c r="W9" i="9" s="1"/>
  <c r="S8" i="9"/>
  <c r="N8" i="9"/>
  <c r="S7" i="9"/>
  <c r="N7" i="9"/>
  <c r="V6" i="9"/>
  <c r="S6" i="9"/>
  <c r="N6" i="9"/>
  <c r="S5" i="9"/>
  <c r="N5" i="9"/>
  <c r="V4" i="9"/>
  <c r="S4" i="9"/>
  <c r="N4" i="9"/>
  <c r="V3" i="9"/>
  <c r="S3" i="9"/>
  <c r="J3" i="9"/>
  <c r="AF17" i="8"/>
  <c r="AC15" i="8"/>
  <c r="Y15" i="8"/>
  <c r="E15" i="8"/>
  <c r="W15" i="8"/>
  <c r="V15" i="8"/>
  <c r="V30" i="8" s="1"/>
  <c r="U15" i="8"/>
  <c r="T15" i="8"/>
  <c r="S15" i="8"/>
  <c r="H17" i="6"/>
  <c r="W8" i="9" l="1"/>
  <c r="W5" i="9"/>
  <c r="V15" i="9"/>
  <c r="S15" i="9"/>
  <c r="W11" i="9"/>
  <c r="W12" i="9"/>
  <c r="W7" i="9"/>
  <c r="V19" i="8"/>
  <c r="W6" i="9"/>
  <c r="W10" i="9"/>
  <c r="W14" i="9"/>
  <c r="E30" i="8"/>
  <c r="E32" i="8" s="1"/>
  <c r="W4" i="9"/>
  <c r="W13" i="9"/>
  <c r="B30" i="8"/>
  <c r="B32" i="8" s="1"/>
  <c r="N15" i="9"/>
  <c r="N3" i="9"/>
  <c r="W3" i="9" s="1"/>
  <c r="G30" i="8"/>
  <c r="G32" i="8" s="1"/>
  <c r="P30" i="8"/>
  <c r="P32" i="8" s="1"/>
  <c r="AB15" i="8"/>
  <c r="B15" i="6"/>
  <c r="O22" i="9" l="1"/>
  <c r="O23" i="9" s="1"/>
  <c r="B17" i="11"/>
  <c r="B18" i="9"/>
  <c r="W15" i="9"/>
  <c r="M30" i="8"/>
  <c r="M32" i="8" s="1"/>
  <c r="N22" i="6" l="1"/>
  <c r="V15" i="6" l="1"/>
  <c r="M9" i="6"/>
  <c r="Q3" i="6" l="1"/>
  <c r="P17" i="6"/>
  <c r="O17" i="6"/>
  <c r="N17" i="6"/>
  <c r="M17" i="6"/>
  <c r="J17" i="6"/>
  <c r="G17" i="6"/>
  <c r="G17" i="11" s="1"/>
  <c r="F17" i="6"/>
  <c r="F17" i="11" s="1"/>
  <c r="E17" i="6"/>
  <c r="D17" i="6"/>
  <c r="B17" i="6"/>
  <c r="F5" i="7" l="1"/>
  <c r="G5" i="7" s="1"/>
  <c r="F3" i="7"/>
  <c r="M15" i="7"/>
  <c r="K15" i="7"/>
  <c r="I15" i="7"/>
  <c r="H15" i="7"/>
  <c r="E15" i="7"/>
  <c r="D15" i="7"/>
  <c r="C15" i="7"/>
  <c r="H22" i="6" s="1"/>
  <c r="B15" i="7"/>
  <c r="O14" i="7"/>
  <c r="L14" i="7"/>
  <c r="G14" i="7"/>
  <c r="O13" i="7"/>
  <c r="L13" i="7"/>
  <c r="G13" i="7"/>
  <c r="O12" i="7"/>
  <c r="L12" i="7"/>
  <c r="G12" i="7"/>
  <c r="L11" i="7"/>
  <c r="G11" i="7"/>
  <c r="N15" i="7"/>
  <c r="L10" i="7"/>
  <c r="G10" i="7"/>
  <c r="L9" i="7"/>
  <c r="G9" i="7"/>
  <c r="L8" i="7"/>
  <c r="G8" i="7"/>
  <c r="L7" i="7"/>
  <c r="G7" i="7"/>
  <c r="O6" i="7"/>
  <c r="L6" i="7"/>
  <c r="G6" i="7"/>
  <c r="L5" i="7"/>
  <c r="O4" i="7"/>
  <c r="L4" i="7"/>
  <c r="G4" i="7"/>
  <c r="O3" i="7"/>
  <c r="L3" i="7"/>
  <c r="G3" i="7"/>
  <c r="J57" i="6"/>
  <c r="K57" i="6" s="1"/>
  <c r="K59" i="6" s="1"/>
  <c r="D46" i="6"/>
  <c r="J37" i="6"/>
  <c r="I37" i="6"/>
  <c r="J32" i="6"/>
  <c r="AE15" i="6"/>
  <c r="AB15" i="6"/>
  <c r="AA15" i="6"/>
  <c r="Z15" i="6"/>
  <c r="D15" i="6" s="1"/>
  <c r="D17" i="11" s="1"/>
  <c r="Y15" i="6"/>
  <c r="X15" i="6"/>
  <c r="X30" i="6" s="1"/>
  <c r="W15" i="6"/>
  <c r="W19" i="6" s="1"/>
  <c r="U15" i="6"/>
  <c r="U19" i="6" s="1"/>
  <c r="T15" i="6"/>
  <c r="G15" i="6" s="1"/>
  <c r="S15" i="6"/>
  <c r="F15" i="6" s="1"/>
  <c r="F30" i="6" s="1"/>
  <c r="F32" i="6" s="1"/>
  <c r="R15" i="6"/>
  <c r="R19" i="6" s="1"/>
  <c r="Q15" i="6"/>
  <c r="P15" i="6"/>
  <c r="P30" i="6" s="1"/>
  <c r="P32" i="6" s="1"/>
  <c r="O15" i="6"/>
  <c r="O30" i="6" s="1"/>
  <c r="O32" i="6" s="1"/>
  <c r="N15" i="6"/>
  <c r="N30" i="6" s="1"/>
  <c r="N32" i="6" s="1"/>
  <c r="K15" i="6"/>
  <c r="K30" i="6" s="1"/>
  <c r="K32" i="6" s="1"/>
  <c r="J15" i="6"/>
  <c r="J19" i="6" s="1"/>
  <c r="I15" i="6"/>
  <c r="I19" i="6" s="1"/>
  <c r="E15" i="6"/>
  <c r="C15" i="6"/>
  <c r="AD14" i="6"/>
  <c r="AD13" i="6"/>
  <c r="M15" i="6"/>
  <c r="M19" i="6" s="1"/>
  <c r="AD12" i="6"/>
  <c r="AD11" i="6"/>
  <c r="H15" i="6"/>
  <c r="H17" i="11" s="1"/>
  <c r="AD10" i="6"/>
  <c r="AD9" i="6"/>
  <c r="AD8" i="6"/>
  <c r="AD7" i="6"/>
  <c r="AD6" i="6"/>
  <c r="AD5" i="6"/>
  <c r="AD4" i="6"/>
  <c r="AD3" i="6"/>
  <c r="J30" i="3"/>
  <c r="I30" i="3"/>
  <c r="E26" i="5"/>
  <c r="C51" i="5"/>
  <c r="J50" i="3"/>
  <c r="K50" i="3" s="1"/>
  <c r="K52" i="3" s="1"/>
  <c r="D39" i="3"/>
  <c r="AC3" i="3"/>
  <c r="AC4" i="3"/>
  <c r="AC5" i="3"/>
  <c r="AC6" i="3"/>
  <c r="AC7" i="3"/>
  <c r="AC9" i="3"/>
  <c r="AC13" i="3"/>
  <c r="AC2" i="3"/>
  <c r="M25" i="5"/>
  <c r="E19" i="6" l="1"/>
  <c r="E17" i="11"/>
  <c r="D30" i="6"/>
  <c r="D32" i="6" s="1"/>
  <c r="P11" i="7"/>
  <c r="P5" i="7"/>
  <c r="H23" i="6"/>
  <c r="J22" i="6"/>
  <c r="K22" i="6" s="1"/>
  <c r="C19" i="6"/>
  <c r="E20" i="6"/>
  <c r="D20" i="6"/>
  <c r="F15" i="7"/>
  <c r="G15" i="7" s="1"/>
  <c r="B18" i="7" s="1"/>
  <c r="T19" i="6"/>
  <c r="G19" i="6"/>
  <c r="Q30" i="6"/>
  <c r="Q32" i="6" s="1"/>
  <c r="H22" i="7"/>
  <c r="H23" i="7" s="1"/>
  <c r="P14" i="7"/>
  <c r="P12" i="7"/>
  <c r="P4" i="7"/>
  <c r="P9" i="7"/>
  <c r="P13" i="7"/>
  <c r="P8" i="7"/>
  <c r="P7" i="7"/>
  <c r="P6" i="7"/>
  <c r="P3" i="7"/>
  <c r="L15" i="7"/>
  <c r="AD15" i="6"/>
  <c r="B19" i="9" s="1"/>
  <c r="B22" i="9" s="1"/>
  <c r="O15" i="7"/>
  <c r="O10" i="7"/>
  <c r="P10" i="7" s="1"/>
  <c r="H30" i="6"/>
  <c r="H32" i="6" s="1"/>
  <c r="H19" i="6"/>
  <c r="M30" i="6"/>
  <c r="M32" i="6" s="1"/>
  <c r="L15" i="6"/>
  <c r="D19" i="6"/>
  <c r="F19" i="6"/>
  <c r="N19" i="6"/>
  <c r="P19" i="6"/>
  <c r="X19" i="6"/>
  <c r="C30" i="6"/>
  <c r="C32" i="6" s="1"/>
  <c r="E30" i="6"/>
  <c r="E32" i="6" s="1"/>
  <c r="I30" i="6"/>
  <c r="I32" i="6" s="1"/>
  <c r="R30" i="6"/>
  <c r="R32" i="6" s="1"/>
  <c r="K19" i="6"/>
  <c r="O19" i="6"/>
  <c r="D44" i="5"/>
  <c r="B43" i="5"/>
  <c r="B45" i="5" s="1"/>
  <c r="D42" i="5"/>
  <c r="D41" i="5"/>
  <c r="D40" i="5"/>
  <c r="J25" i="3"/>
  <c r="M10" i="4"/>
  <c r="L8" i="3"/>
  <c r="AC8" i="3" s="1"/>
  <c r="H10" i="3"/>
  <c r="AC10" i="3" s="1"/>
  <c r="G11" i="3"/>
  <c r="AC11" i="3" s="1"/>
  <c r="C26" i="11" l="1"/>
  <c r="B30" i="6"/>
  <c r="B32" i="6" s="1"/>
  <c r="G30" i="6"/>
  <c r="G32" i="6" s="1"/>
  <c r="AH17" i="6"/>
  <c r="B19" i="7"/>
  <c r="B19" i="6"/>
  <c r="P15" i="7"/>
  <c r="L30" i="6"/>
  <c r="L32" i="6" s="1"/>
  <c r="L19" i="6"/>
  <c r="D43" i="5"/>
  <c r="N6" i="4"/>
  <c r="N10" i="4"/>
  <c r="N12" i="4"/>
  <c r="N13" i="4"/>
  <c r="N14" i="4"/>
  <c r="N4" i="4"/>
  <c r="N3" i="4"/>
  <c r="K4" i="4"/>
  <c r="K5" i="4"/>
  <c r="K6" i="4"/>
  <c r="K7" i="4"/>
  <c r="K8" i="4"/>
  <c r="K9" i="4"/>
  <c r="K10" i="4"/>
  <c r="K11" i="4"/>
  <c r="K12" i="4"/>
  <c r="K13" i="4"/>
  <c r="K14" i="4"/>
  <c r="K3" i="4"/>
  <c r="C15" i="4"/>
  <c r="J15" i="4"/>
  <c r="H15" i="4"/>
  <c r="I15" i="4"/>
  <c r="D15" i="4"/>
  <c r="L15" i="4"/>
  <c r="M15" i="4"/>
  <c r="E15" i="4"/>
  <c r="F15" i="4"/>
  <c r="B15" i="4"/>
  <c r="G4" i="4"/>
  <c r="O4" i="4" s="1"/>
  <c r="G5" i="4"/>
  <c r="G6" i="4"/>
  <c r="G7" i="4"/>
  <c r="G8" i="4"/>
  <c r="O8" i="4" s="1"/>
  <c r="G9" i="4"/>
  <c r="G10" i="4"/>
  <c r="G11" i="4"/>
  <c r="G12" i="4"/>
  <c r="G13" i="4"/>
  <c r="G14" i="4"/>
  <c r="G3" i="4"/>
  <c r="AD14" i="3"/>
  <c r="G14" i="3"/>
  <c r="H14" i="3"/>
  <c r="P14" i="3"/>
  <c r="P23" i="3" s="1"/>
  <c r="P25" i="3" s="1"/>
  <c r="N14" i="3"/>
  <c r="N23" i="3" s="1"/>
  <c r="N25" i="3" s="1"/>
  <c r="O14" i="3"/>
  <c r="O23" i="3" s="1"/>
  <c r="O25" i="3" s="1"/>
  <c r="Q14" i="3"/>
  <c r="R14" i="3"/>
  <c r="R23" i="3" s="1"/>
  <c r="R25" i="3" s="1"/>
  <c r="J14" i="3"/>
  <c r="L14" i="3"/>
  <c r="K14" i="3"/>
  <c r="K23" i="3" s="1"/>
  <c r="K25" i="3" s="1"/>
  <c r="T14" i="3"/>
  <c r="T18" i="3" s="1"/>
  <c r="U14" i="3"/>
  <c r="U18" i="3" s="1"/>
  <c r="AB14" i="3"/>
  <c r="V14" i="3"/>
  <c r="V18" i="3" s="1"/>
  <c r="W14" i="3"/>
  <c r="W18" i="3" s="1"/>
  <c r="E14" i="3"/>
  <c r="X14" i="3"/>
  <c r="X23" i="3" s="1"/>
  <c r="S14" i="3"/>
  <c r="F14" i="3" s="1"/>
  <c r="Y14" i="3"/>
  <c r="Z14" i="3"/>
  <c r="D14" i="3" s="1"/>
  <c r="D23" i="3" s="1"/>
  <c r="D25" i="3" s="1"/>
  <c r="AA14" i="3"/>
  <c r="I14" i="3"/>
  <c r="I23" i="3" s="1"/>
  <c r="I25" i="3" s="1"/>
  <c r="C14" i="3"/>
  <c r="C23" i="3" s="1"/>
  <c r="C25" i="3" s="1"/>
  <c r="M12" i="3"/>
  <c r="F3" i="1"/>
  <c r="O3" i="1" s="1"/>
  <c r="F31" i="8" s="1"/>
  <c r="O11" i="1"/>
  <c r="P11" i="1" s="1"/>
  <c r="O12" i="1"/>
  <c r="P12" i="1" s="1"/>
  <c r="O10" i="1"/>
  <c r="P10" i="1" s="1"/>
  <c r="N9" i="1"/>
  <c r="J9" i="1"/>
  <c r="H9" i="1"/>
  <c r="E9" i="1"/>
  <c r="O8" i="1"/>
  <c r="E31" i="8" s="1"/>
  <c r="O7" i="1"/>
  <c r="H6" i="1"/>
  <c r="C6" i="1"/>
  <c r="O5" i="1"/>
  <c r="P5" i="1" s="1"/>
  <c r="O4" i="1"/>
  <c r="B31" i="8" s="1"/>
  <c r="O25" i="1"/>
  <c r="P25" i="1" s="1"/>
  <c r="B19" i="1"/>
  <c r="B26" i="1"/>
  <c r="P4" i="1" l="1"/>
  <c r="D31" i="8" s="1"/>
  <c r="B34" i="11"/>
  <c r="B45" i="11" s="1"/>
  <c r="O9" i="1"/>
  <c r="P9" i="1" s="1"/>
  <c r="O12" i="4"/>
  <c r="O3" i="4"/>
  <c r="O11" i="4"/>
  <c r="O7" i="4"/>
  <c r="G15" i="4"/>
  <c r="B18" i="4" s="1"/>
  <c r="B29" i="1"/>
  <c r="P7" i="1"/>
  <c r="O14" i="4"/>
  <c r="O6" i="4"/>
  <c r="O6" i="1"/>
  <c r="P6" i="1" s="1"/>
  <c r="O13" i="4"/>
  <c r="O9" i="4"/>
  <c r="O5" i="4"/>
  <c r="K15" i="4"/>
  <c r="E24" i="3"/>
  <c r="E28" i="3" s="1"/>
  <c r="E31" i="6"/>
  <c r="E35" i="6" s="1"/>
  <c r="P3" i="1"/>
  <c r="D24" i="3"/>
  <c r="D28" i="3" s="1"/>
  <c r="D31" i="6"/>
  <c r="D35" i="6" s="1"/>
  <c r="B31" i="6"/>
  <c r="B35" i="6" s="1"/>
  <c r="B24" i="3"/>
  <c r="B28" i="3" s="1"/>
  <c r="O10" i="4"/>
  <c r="C24" i="3"/>
  <c r="C28" i="3" s="1"/>
  <c r="C31" i="6"/>
  <c r="C35" i="6" s="1"/>
  <c r="P8" i="1"/>
  <c r="M14" i="3"/>
  <c r="M23" i="3" s="1"/>
  <c r="M25" i="3" s="1"/>
  <c r="AC12" i="3"/>
  <c r="AC14" i="3" s="1"/>
  <c r="AC16" i="3" s="1"/>
  <c r="N15" i="4"/>
  <c r="D45" i="5"/>
  <c r="M18" i="3"/>
  <c r="F18" i="3"/>
  <c r="F23" i="3"/>
  <c r="F25" i="3" s="1"/>
  <c r="C18" i="3"/>
  <c r="X18" i="3"/>
  <c r="R18" i="3"/>
  <c r="N18" i="3"/>
  <c r="E18" i="3"/>
  <c r="E23" i="3"/>
  <c r="E25" i="3" s="1"/>
  <c r="B14" i="3"/>
  <c r="Q23" i="3"/>
  <c r="Q25" i="3" s="1"/>
  <c r="H18" i="3"/>
  <c r="H23" i="3"/>
  <c r="H25" i="3" s="1"/>
  <c r="L18" i="3"/>
  <c r="L23" i="3"/>
  <c r="L25" i="3" s="1"/>
  <c r="G18" i="3"/>
  <c r="G23" i="3"/>
  <c r="G25" i="3" s="1"/>
  <c r="I18" i="3"/>
  <c r="K18" i="3"/>
  <c r="J18" i="3"/>
  <c r="O18" i="3"/>
  <c r="P18" i="3"/>
  <c r="D18" i="3"/>
  <c r="C34" i="11" l="1"/>
  <c r="C45" i="11" s="1"/>
  <c r="P26" i="1"/>
  <c r="O15" i="4"/>
  <c r="C17" i="7"/>
  <c r="E17" i="7" s="1"/>
  <c r="C17" i="9"/>
  <c r="G17" i="9" s="1"/>
  <c r="AG16" i="3"/>
  <c r="AG17" i="3" s="1"/>
  <c r="B22" i="7"/>
  <c r="B23" i="3"/>
  <c r="B25" i="3" s="1"/>
  <c r="B18" i="3"/>
  <c r="C17" i="4"/>
  <c r="E17" i="4" s="1"/>
  <c r="B19" i="4"/>
  <c r="B22" i="4" s="1"/>
  <c r="V19" i="6"/>
  <c r="C47" i="11" l="1"/>
  <c r="C48" i="11" s="1"/>
  <c r="C4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M3" authorId="0" shapeId="0" xr:uid="{00000000-0006-0000-0F00-000001000000}">
      <text>
        <r>
          <rPr>
            <b/>
            <sz val="9"/>
            <color indexed="81"/>
            <rFont val="Tahoma"/>
            <charset val="1"/>
          </rPr>
          <t>LENOVO:</t>
        </r>
        <r>
          <rPr>
            <sz val="9"/>
            <color indexed="81"/>
            <rFont val="Tahoma"/>
            <charset val="1"/>
          </rPr>
          <t xml:space="preserve">
lift license
</t>
        </r>
      </text>
    </comment>
    <comment ref="M5" authorId="0" shapeId="0" xr:uid="{00000000-0006-0000-0F00-000002000000}">
      <text>
        <r>
          <rPr>
            <b/>
            <sz val="9"/>
            <color indexed="81"/>
            <rFont val="Tahoma"/>
            <charset val="1"/>
          </rPr>
          <t>LENOVO:</t>
        </r>
        <r>
          <rPr>
            <sz val="9"/>
            <color indexed="81"/>
            <rFont val="Tahoma"/>
            <charset val="1"/>
          </rPr>
          <t xml:space="preserve">
upgradation of lift 50% payment
</t>
        </r>
      </text>
    </comment>
    <comment ref="K7" authorId="0" shapeId="0" xr:uid="{00000000-0006-0000-0F00-000003000000}">
      <text>
        <r>
          <rPr>
            <b/>
            <sz val="9"/>
            <color indexed="81"/>
            <rFont val="Tahoma"/>
            <charset val="1"/>
          </rPr>
          <t>LENOVO:</t>
        </r>
        <r>
          <rPr>
            <sz val="9"/>
            <color indexed="81"/>
            <rFont val="Tahoma"/>
            <charset val="1"/>
          </rPr>
          <t xml:space="preserve">
subsidy</t>
        </r>
      </text>
    </comment>
    <comment ref="J9" authorId="0" shapeId="0" xr:uid="{00000000-0006-0000-0F00-000004000000}">
      <text>
        <r>
          <rPr>
            <b/>
            <sz val="9"/>
            <color indexed="81"/>
            <rFont val="Tahoma"/>
            <charset val="1"/>
          </rPr>
          <t>LENOVO:</t>
        </r>
        <r>
          <rPr>
            <sz val="9"/>
            <color indexed="81"/>
            <rFont val="Tahoma"/>
            <charset val="1"/>
          </rPr>
          <t xml:space="preserve">
Completion Certificate
</t>
        </r>
      </text>
    </comment>
    <comment ref="Z9" authorId="0" shapeId="0" xr:uid="{00000000-0006-0000-0F00-000005000000}">
      <text>
        <r>
          <rPr>
            <b/>
            <sz val="9"/>
            <color indexed="81"/>
            <rFont val="Tahoma"/>
            <charset val="1"/>
          </rPr>
          <t>LENOVO:</t>
        </r>
        <r>
          <rPr>
            <sz val="9"/>
            <color indexed="81"/>
            <rFont val="Tahoma"/>
            <charset val="1"/>
          </rPr>
          <t xml:space="preserve">
4830 AGBM AND 867 MC MEETING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I7" authorId="0" shapeId="0" xr:uid="{00000000-0006-0000-1000-000001000000}">
      <text>
        <r>
          <rPr>
            <b/>
            <sz val="9"/>
            <color indexed="81"/>
            <rFont val="Tahoma"/>
            <charset val="1"/>
          </rPr>
          <t>LENOVO:</t>
        </r>
        <r>
          <rPr>
            <sz val="9"/>
            <color indexed="81"/>
            <rFont val="Tahoma"/>
            <charset val="1"/>
          </rPr>
          <t xml:space="preserve">
50000 p tickoo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I7" authorId="0" shapeId="0" xr:uid="{00000000-0006-0000-1100-000001000000}">
      <text>
        <r>
          <rPr>
            <b/>
            <sz val="9"/>
            <color indexed="81"/>
            <rFont val="Tahoma"/>
            <charset val="1"/>
          </rPr>
          <t>LENOVO:</t>
        </r>
        <r>
          <rPr>
            <sz val="9"/>
            <color indexed="81"/>
            <rFont val="Tahoma"/>
            <charset val="1"/>
          </rPr>
          <t xml:space="preserve">
50000 p tickoo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N6" authorId="0" shapeId="0" xr:uid="{00000000-0006-0000-1200-000001000000}">
      <text>
        <r>
          <rPr>
            <b/>
            <sz val="9"/>
            <color indexed="81"/>
            <rFont val="Tahoma"/>
            <charset val="1"/>
          </rPr>
          <t>LENOVO:</t>
        </r>
        <r>
          <rPr>
            <sz val="9"/>
            <color indexed="81"/>
            <rFont val="Tahoma"/>
            <charset val="1"/>
          </rPr>
          <t xml:space="preserve">
water monitoirng
</t>
        </r>
      </text>
    </comment>
    <comment ref="P6" authorId="0" shapeId="0" xr:uid="{00000000-0006-0000-1200-000002000000}">
      <text>
        <r>
          <rPr>
            <b/>
            <sz val="9"/>
            <color indexed="81"/>
            <rFont val="Tahoma"/>
            <charset val="1"/>
          </rPr>
          <t>LENOVO:</t>
        </r>
        <r>
          <rPr>
            <sz val="9"/>
            <color indexed="81"/>
            <rFont val="Tahoma"/>
            <charset val="1"/>
          </rPr>
          <t xml:space="preserve">
c5 wing panal
</t>
        </r>
      </text>
    </comment>
    <comment ref="Z9" authorId="0" shapeId="0" xr:uid="{00000000-0006-0000-1200-000003000000}">
      <text>
        <r>
          <rPr>
            <b/>
            <sz val="9"/>
            <color indexed="81"/>
            <rFont val="Tahoma"/>
            <charset val="1"/>
          </rPr>
          <t>LENOVO:</t>
        </r>
        <r>
          <rPr>
            <sz val="9"/>
            <color indexed="81"/>
            <rFont val="Tahoma"/>
            <charset val="1"/>
          </rPr>
          <t xml:space="preserve">
4830 AGBM AND 867 MC MEETING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M3" authorId="0" shapeId="0" xr:uid="{00000000-0006-0000-1300-000001000000}">
      <text>
        <r>
          <rPr>
            <b/>
            <sz val="9"/>
            <color indexed="81"/>
            <rFont val="Tahoma"/>
            <charset val="1"/>
          </rPr>
          <t>Lenovo:</t>
        </r>
        <r>
          <rPr>
            <sz val="9"/>
            <color indexed="81"/>
            <rFont val="Tahoma"/>
            <charset val="1"/>
          </rPr>
          <t xml:space="preserve">
21000 c6 panerl eletrcial
6100 c6 intercom panel</t>
        </r>
      </text>
    </comment>
    <comment ref="M4" authorId="0" shapeId="0" xr:uid="{00000000-0006-0000-1300-000002000000}">
      <text>
        <r>
          <rPr>
            <b/>
            <sz val="9"/>
            <color indexed="81"/>
            <rFont val="Tahoma"/>
            <charset val="1"/>
          </rPr>
          <t>Lenovo:</t>
        </r>
        <r>
          <rPr>
            <sz val="9"/>
            <color indexed="81"/>
            <rFont val="Tahoma"/>
            <charset val="1"/>
          </rPr>
          <t xml:space="preserve">
4500 pump repair 1610 riksha reapir 920 c-204 water pipe repair.1000 main gate repair
</t>
        </r>
      </text>
    </comment>
    <comment ref="M5" authorId="0" shapeId="0" xr:uid="{00000000-0006-0000-1300-000003000000}">
      <text>
        <r>
          <rPr>
            <b/>
            <sz val="9"/>
            <color indexed="81"/>
            <rFont val="Tahoma"/>
            <charset val="1"/>
          </rPr>
          <t>Lenovo:</t>
        </r>
        <r>
          <rPr>
            <sz val="9"/>
            <color indexed="81"/>
            <rFont val="Tahoma"/>
            <charset val="1"/>
          </rPr>
          <t xml:space="preserve">
5000 balcne paymment pump repair. 7500 wire for pump 4466 plumbing matrail for pump. 7670 for genste fan.\
</t>
        </r>
      </text>
    </comment>
    <comment ref="M6" authorId="0" shapeId="0" xr:uid="{00000000-0006-0000-1300-000004000000}">
      <text>
        <r>
          <rPr>
            <b/>
            <sz val="9"/>
            <color indexed="81"/>
            <rFont val="Tahoma"/>
            <charset val="1"/>
          </rPr>
          <t>Lenovo:</t>
        </r>
        <r>
          <rPr>
            <sz val="9"/>
            <color indexed="81"/>
            <rFont val="Tahoma"/>
            <charset val="1"/>
          </rPr>
          <t xml:space="preserve">
28000 mccb for A &amp; B4 basement. 7000 glass fixw in pump and c block stairs.4472 plumbing matrail for conneting park motor  to pump repair.
5047  reapring pump motor again.
 3400 for  fixing seepage in A-302.890 for valuve fnear guadrroom pipiline.
</t>
        </r>
      </text>
    </comment>
    <comment ref="M7" authorId="0" shapeId="0" xr:uid="{00000000-0006-0000-1300-000005000000}">
      <text>
        <r>
          <rPr>
            <b/>
            <sz val="9"/>
            <color indexed="81"/>
            <rFont val="Tahoma"/>
            <charset val="1"/>
          </rPr>
          <t>Lenovo:</t>
        </r>
        <r>
          <rPr>
            <sz val="9"/>
            <color indexed="81"/>
            <rFont val="Tahoma"/>
            <charset val="1"/>
          </rPr>
          <t xml:space="preserve">
51080 sumbesible pump. 3200 fixinf A2 water pipeline.12440 A2 roof repair.35730 fixing soil and glass in all block stairs.</t>
        </r>
      </text>
    </comment>
    <comment ref="M8" authorId="0" shapeId="0" xr:uid="{00000000-0006-0000-1300-000006000000}">
      <text>
        <r>
          <rPr>
            <b/>
            <sz val="9"/>
            <color indexed="81"/>
            <rFont val="Tahoma"/>
            <charset val="1"/>
          </rPr>
          <t>Lenovo:</t>
        </r>
        <r>
          <rPr>
            <sz val="9"/>
            <color indexed="81"/>
            <rFont val="Tahoma"/>
            <charset val="1"/>
          </rPr>
          <t xml:space="preserve">
23000 tarnsformer repair (Baljeet).
19000 balcne payment fixing soil in glass all stairs block.
10000 advnce for 5 shed in in all block terrace.
</t>
        </r>
      </text>
    </comment>
    <comment ref="M9" authorId="0" shapeId="0" xr:uid="{00000000-0006-0000-1300-000007000000}">
      <text>
        <r>
          <rPr>
            <b/>
            <sz val="9"/>
            <color indexed="81"/>
            <rFont val="Tahoma"/>
            <charset val="1"/>
          </rPr>
          <t>Lenovo:</t>
        </r>
        <r>
          <rPr>
            <sz val="9"/>
            <color indexed="81"/>
            <rFont val="Tahoma"/>
            <charset val="1"/>
          </rPr>
          <t xml:space="preserve">
84530 6 shaft repair.
32383 plumbing matrail for C5 water pipline change.
14000 labor charge for c5 water pipiline change.
40930 balcnce payment of shaft shed all three block terrace.
10000 A-401 wiring from meter to flat.
3048 safety equipment in genset. 2000 balcne payment fixing soil and glass in stair.
</t>
        </r>
      </text>
    </comment>
    <comment ref="M10" authorId="0" shapeId="0" xr:uid="{00000000-0006-0000-1300-000008000000}">
      <text>
        <r>
          <rPr>
            <b/>
            <sz val="9"/>
            <color indexed="81"/>
            <rFont val="Tahoma"/>
            <charset val="1"/>
          </rPr>
          <t>Lenovo:</t>
        </r>
        <r>
          <rPr>
            <sz val="9"/>
            <color indexed="81"/>
            <rFont val="Tahoma"/>
            <charset val="1"/>
          </rPr>
          <t xml:space="preserve">
18880 repairng ht lt panel.
19500 fixing water pipeline near B-004.</t>
        </r>
      </text>
    </comment>
    <comment ref="M11" authorId="0" shapeId="0" xr:uid="{00000000-0006-0000-1300-000009000000}">
      <text>
        <r>
          <rPr>
            <b/>
            <sz val="9"/>
            <color indexed="81"/>
            <rFont val="Tahoma"/>
            <charset val="1"/>
          </rPr>
          <t>Lenovo:</t>
        </r>
        <r>
          <rPr>
            <sz val="9"/>
            <color indexed="81"/>
            <rFont val="Tahoma"/>
            <charset val="1"/>
          </rPr>
          <t xml:space="preserve">
162390 for car parking slot painting. 64000 communty hall terrace part payment.
15273 repairng seepage in transformer room.
7980 pump repair.</t>
        </r>
      </text>
    </comment>
    <comment ref="M12" authorId="0" shapeId="0" xr:uid="{00000000-0006-0000-1300-00000A000000}">
      <text>
        <r>
          <rPr>
            <b/>
            <sz val="9"/>
            <color indexed="81"/>
            <rFont val="Tahoma"/>
            <charset val="1"/>
          </rPr>
          <t>Lenovo:</t>
        </r>
        <r>
          <rPr>
            <sz val="9"/>
            <color indexed="81"/>
            <rFont val="Tahoma"/>
            <charset val="1"/>
          </rPr>
          <t xml:space="preserve">
20000 balcne payment shaft repair.64000 comuunty hall terrace balance payment.47380 advacne for kota stone work in community hall.
95000 covering electrcal box in each floor of all block. 2000 balance payment of transformer rrom repair.
4000 supervising b block  basemnt work.
20100 matrial and labor charges fr b block basemnt work.
1200 shifting grill near A-0012400 bricks in transfformer room. 2400 shifting civil matril to b4 basement.1190 repairng gas chulha.
</t>
        </r>
      </text>
    </comment>
    <comment ref="M13" authorId="0" shapeId="0" xr:uid="{00000000-0006-0000-1300-00000B000000}">
      <text>
        <r>
          <rPr>
            <b/>
            <sz val="9"/>
            <color indexed="81"/>
            <rFont val="Tahoma"/>
            <charset val="1"/>
          </rPr>
          <t>Lenovo:</t>
        </r>
        <r>
          <rPr>
            <sz val="9"/>
            <color indexed="81"/>
            <rFont val="Tahoma"/>
            <charset val="1"/>
          </rPr>
          <t xml:space="preserve">
142140  balcne payment of kota stone work.10369 for plumbing work near A-003.
12357 fixing jint near trasnformer room.
2400 bricks for trasnformer room,.
</t>
        </r>
      </text>
    </comment>
    <comment ref="M14" authorId="0" shapeId="0" xr:uid="{00000000-0006-0000-1300-00000C000000}">
      <text>
        <r>
          <rPr>
            <b/>
            <sz val="9"/>
            <color indexed="81"/>
            <rFont val="Tahoma"/>
            <charset val="1"/>
          </rPr>
          <t>Lenovo:</t>
        </r>
        <r>
          <rPr>
            <sz val="9"/>
            <color indexed="81"/>
            <rFont val="Tahoma"/>
            <charset val="1"/>
          </rPr>
          <t xml:space="preserve">
25878 advance for repairng parapet wall in c block.
14700 making main hole. 9760 for  reapring work near A-001 A-004 A-001.
12151 for  sliding roller.
3200 reapring pump panelr.1500 inderapl for fiixng light 1500 checking water leakage.
</t>
        </r>
      </text>
    </comment>
  </commentList>
</comments>
</file>

<file path=xl/sharedStrings.xml><?xml version="1.0" encoding="utf-8"?>
<sst xmlns="http://schemas.openxmlformats.org/spreadsheetml/2006/main" count="993" uniqueCount="302">
  <si>
    <t>Expenditure</t>
  </si>
  <si>
    <t>Lift Maintenance</t>
  </si>
  <si>
    <t>Electricity</t>
  </si>
  <si>
    <t>Repair Maint</t>
  </si>
  <si>
    <t>Salary</t>
  </si>
  <si>
    <t>Security</t>
  </si>
  <si>
    <t>Professional &amp; Legal</t>
  </si>
  <si>
    <t>Water expenses</t>
  </si>
  <si>
    <t>Building Insurance</t>
  </si>
  <si>
    <t>Depreciation</t>
  </si>
  <si>
    <t>Conveyance</t>
  </si>
  <si>
    <t>Gardening</t>
  </si>
  <si>
    <t>Commincation (P&amp;T)</t>
  </si>
  <si>
    <t>Statitionaries</t>
  </si>
  <si>
    <t>Bank charges</t>
  </si>
  <si>
    <t>General Expense</t>
  </si>
  <si>
    <t>Meeting Expense</t>
  </si>
  <si>
    <t>Audit Fee</t>
  </si>
  <si>
    <t>Excess Income</t>
  </si>
  <si>
    <t>Diff</t>
  </si>
  <si>
    <t>Total</t>
  </si>
  <si>
    <t>Genarator Maint(Deisel+AMC)</t>
  </si>
  <si>
    <t>Year</t>
  </si>
  <si>
    <t>Electicity</t>
  </si>
  <si>
    <t>Water</t>
  </si>
  <si>
    <t>Desel</t>
  </si>
  <si>
    <t>Repair &amp; Maint</t>
  </si>
  <si>
    <t>Conveyan</t>
  </si>
  <si>
    <t>Printing &amp; Stationery</t>
  </si>
  <si>
    <t>meeting</t>
  </si>
  <si>
    <t>Genset Maint</t>
  </si>
  <si>
    <t>Professional</t>
  </si>
  <si>
    <t>Others</t>
  </si>
  <si>
    <t>Spycam</t>
  </si>
  <si>
    <t>Firefighting</t>
  </si>
  <si>
    <t>AMC Intercom</t>
  </si>
  <si>
    <t>Apr</t>
  </si>
  <si>
    <t>May</t>
  </si>
  <si>
    <t>Jun</t>
  </si>
  <si>
    <t>Jul</t>
  </si>
  <si>
    <t>Aug</t>
  </si>
  <si>
    <t>Ground rent dep[osited</t>
  </si>
  <si>
    <t>Sep</t>
  </si>
  <si>
    <t>Oct</t>
  </si>
  <si>
    <t>Nov</t>
  </si>
  <si>
    <t>Dec</t>
  </si>
  <si>
    <t>CA payment</t>
  </si>
  <si>
    <t>Jan</t>
  </si>
  <si>
    <t>AGM expense</t>
  </si>
  <si>
    <t>Advance 5000 by Inderpal</t>
  </si>
  <si>
    <t>Feb</t>
  </si>
  <si>
    <t>Mar</t>
  </si>
  <si>
    <t>Federatio</t>
  </si>
  <si>
    <t>CA</t>
  </si>
  <si>
    <t>Glass</t>
  </si>
  <si>
    <t>Shaft</t>
  </si>
  <si>
    <t>June</t>
  </si>
  <si>
    <t>Diesel</t>
  </si>
  <si>
    <t>Lift AMC</t>
  </si>
  <si>
    <t>Conservancy</t>
  </si>
  <si>
    <t>Legal</t>
  </si>
  <si>
    <t>P&amp;T</t>
  </si>
  <si>
    <t>Tranfer to other fund</t>
  </si>
  <si>
    <t>Refund</t>
  </si>
  <si>
    <t>Exp adjusted</t>
  </si>
  <si>
    <t>Water Tank cleaning</t>
  </si>
  <si>
    <t>TDS dep</t>
  </si>
  <si>
    <t xml:space="preserve"> 5 lac tranferred to fixed</t>
  </si>
  <si>
    <t>Advance to staff</t>
  </si>
  <si>
    <t>P &amp; T</t>
  </si>
  <si>
    <t>Electric Item</t>
  </si>
  <si>
    <t>Maint</t>
  </si>
  <si>
    <t>Elect</t>
  </si>
  <si>
    <t>G Rent</t>
  </si>
  <si>
    <t>Bldg Fund</t>
  </si>
  <si>
    <t>Elect security</t>
  </si>
  <si>
    <t>Shifting</t>
  </si>
  <si>
    <t>Welfare</t>
  </si>
  <si>
    <t>Rent</t>
  </si>
  <si>
    <t>L/Fee</t>
  </si>
  <si>
    <t>Penalty</t>
  </si>
  <si>
    <t>Grand Tot</t>
  </si>
  <si>
    <t xml:space="preserve">                Others Income</t>
  </si>
  <si>
    <t xml:space="preserve">                  Income</t>
  </si>
  <si>
    <t>Income</t>
  </si>
  <si>
    <t>Expense</t>
  </si>
  <si>
    <t xml:space="preserve">                              Liabilities</t>
  </si>
  <si>
    <t xml:space="preserve">   Development</t>
  </si>
  <si>
    <t>Salaries</t>
  </si>
  <si>
    <t>Watch &amp; Ward</t>
  </si>
  <si>
    <t>Repair &amp; Main</t>
  </si>
  <si>
    <t>Prinitng &amp; staionaries</t>
  </si>
  <si>
    <t>Comm</t>
  </si>
  <si>
    <t>?</t>
  </si>
  <si>
    <t>Meeting expense</t>
  </si>
  <si>
    <t>Prof &amp;Legal</t>
  </si>
  <si>
    <t>Prof &amp; legal</t>
  </si>
  <si>
    <t>Lift Amc</t>
  </si>
  <si>
    <t>Insurance</t>
  </si>
  <si>
    <t>Gen expense</t>
  </si>
  <si>
    <t>Inter com</t>
  </si>
  <si>
    <t>aduhsed with TDS</t>
  </si>
  <si>
    <t>adjusted with Roshans salary+ lalan's tip</t>
  </si>
  <si>
    <t>Gen set maint</t>
  </si>
  <si>
    <t>FY2011-12</t>
  </si>
  <si>
    <t>Full rebate</t>
  </si>
  <si>
    <t>Maintenance 2012-13</t>
  </si>
  <si>
    <t>Defaulter</t>
  </si>
  <si>
    <t>Half</t>
  </si>
  <si>
    <t>Monthly</t>
  </si>
  <si>
    <t>Maintenance</t>
  </si>
  <si>
    <t>2011-12</t>
  </si>
  <si>
    <t>yearly</t>
  </si>
  <si>
    <t>Rebate</t>
  </si>
  <si>
    <t>FY2010-11</t>
  </si>
  <si>
    <t>Inc %FY12-13</t>
  </si>
  <si>
    <t>Inc % FY11-12</t>
  </si>
  <si>
    <t>Conserva</t>
  </si>
  <si>
    <t>House Keeping</t>
  </si>
  <si>
    <r>
      <t>A</t>
    </r>
    <r>
      <rPr>
        <b/>
        <sz val="11"/>
        <color rgb="FFFF0000"/>
        <rFont val="Calibri"/>
        <family val="2"/>
        <scheme val="minor"/>
      </rPr>
      <t xml:space="preserve">MC </t>
    </r>
    <r>
      <rPr>
        <b/>
        <sz val="11"/>
        <color theme="1"/>
        <rFont val="Calibri"/>
        <family val="2"/>
        <scheme val="minor"/>
      </rPr>
      <t>Genset Maint</t>
    </r>
  </si>
  <si>
    <t>AMC Spycam</t>
  </si>
  <si>
    <t>Water Charge</t>
  </si>
  <si>
    <t>Misc(Extra in chq)</t>
  </si>
  <si>
    <t>sign board</t>
  </si>
  <si>
    <t>Jayantimala AGM</t>
  </si>
  <si>
    <t>Federation</t>
  </si>
  <si>
    <t>Water tank mathur</t>
  </si>
  <si>
    <t>Security Civil</t>
  </si>
  <si>
    <t>Building ins</t>
  </si>
  <si>
    <t>shifting of gen set</t>
  </si>
  <si>
    <t>Accounting Charges</t>
  </si>
  <si>
    <t>Bank Charges</t>
  </si>
  <si>
    <t>Communica</t>
  </si>
  <si>
    <t>Maintenance 2013-14</t>
  </si>
  <si>
    <t>Maintenance 2015-16</t>
  </si>
  <si>
    <t>Maintenance 2014-15</t>
  </si>
  <si>
    <t>Diesal</t>
  </si>
  <si>
    <t>Repail &amp; Maint</t>
  </si>
  <si>
    <t>Gardening &amp; House keeping</t>
  </si>
  <si>
    <t>Elect Items</t>
  </si>
  <si>
    <t>MC Meeting</t>
  </si>
  <si>
    <r>
      <t>A</t>
    </r>
    <r>
      <rPr>
        <b/>
        <sz val="11"/>
        <color rgb="FFFF0000"/>
        <rFont val="Calibri"/>
        <family val="2"/>
        <scheme val="minor"/>
      </rPr>
      <t>MC Lift</t>
    </r>
  </si>
  <si>
    <t>AMC CCTV</t>
  </si>
  <si>
    <t>AMC Fire</t>
  </si>
  <si>
    <t>AGM</t>
  </si>
  <si>
    <t>Refund Security</t>
  </si>
  <si>
    <t>Insurance Building</t>
  </si>
  <si>
    <t>TDS Dep</t>
  </si>
  <si>
    <t>Refund of Elect</t>
  </si>
  <si>
    <t>Water Tank Cleaning</t>
  </si>
  <si>
    <t>Post &amp; Tel</t>
  </si>
  <si>
    <t>Stationary &amp; Pinrting</t>
  </si>
  <si>
    <t>Bank Interst</t>
  </si>
  <si>
    <t>Bank Chgs</t>
  </si>
  <si>
    <t>Bounbce CHQ</t>
  </si>
  <si>
    <t>Adv Recovery</t>
  </si>
  <si>
    <t>Water Chg</t>
  </si>
  <si>
    <t>Bank inteest</t>
  </si>
  <si>
    <t>Income from scarps</t>
  </si>
  <si>
    <t>Pump Reno</t>
  </si>
  <si>
    <t>15th au</t>
  </si>
  <si>
    <t>Earthing</t>
  </si>
  <si>
    <t>CCTV</t>
  </si>
  <si>
    <t>Capital</t>
  </si>
  <si>
    <t>Holi/Diwali</t>
  </si>
  <si>
    <t>Rain water harversing</t>
  </si>
  <si>
    <t>300 federation</t>
  </si>
  <si>
    <t>federation</t>
  </si>
  <si>
    <t>FY13-14</t>
  </si>
  <si>
    <t>Pump Room</t>
  </si>
  <si>
    <t>Civil work and Painting</t>
  </si>
  <si>
    <t>Electrical</t>
  </si>
  <si>
    <t>Rain water sheds</t>
  </si>
  <si>
    <t>Mirror fitting</t>
  </si>
  <si>
    <t>Gen self starter</t>
  </si>
  <si>
    <t>Park grill fitting</t>
  </si>
  <si>
    <t>Labor garbage</t>
  </si>
  <si>
    <t>Badmintopn</t>
  </si>
  <si>
    <t>Raj Mular painting</t>
  </si>
  <si>
    <t>Munna</t>
  </si>
  <si>
    <t>Pluming</t>
  </si>
  <si>
    <t>Raj Kumar Pathway</t>
  </si>
  <si>
    <t>Vinod</t>
  </si>
  <si>
    <t>Cutting Trees</t>
  </si>
  <si>
    <t>Gerenartor Rent</t>
  </si>
  <si>
    <t>AC</t>
  </si>
  <si>
    <t>Pump purchase</t>
  </si>
  <si>
    <t>Chairs and rope</t>
  </si>
  <si>
    <t>Almira</t>
  </si>
  <si>
    <t>Lift</t>
  </si>
  <si>
    <t>Repair</t>
  </si>
  <si>
    <t>Electric</t>
  </si>
  <si>
    <t>AMC Generato</t>
  </si>
  <si>
    <t>Fire AMC</t>
  </si>
  <si>
    <t>Intercom</t>
  </si>
  <si>
    <t>House Keep</t>
  </si>
  <si>
    <t>Meetring</t>
  </si>
  <si>
    <t>Printing sta</t>
  </si>
  <si>
    <t>Electricity common</t>
  </si>
  <si>
    <t>Earthing 1st phae</t>
  </si>
  <si>
    <t>B&amp; C Cable fix</t>
  </si>
  <si>
    <t>Fuse changes</t>
  </si>
  <si>
    <t>Earthing 2nd PH</t>
  </si>
  <si>
    <t>Terracce</t>
  </si>
  <si>
    <t>Additional Income</t>
  </si>
  <si>
    <t>Parking</t>
  </si>
  <si>
    <t>Power House servicing</t>
  </si>
  <si>
    <t>excess</t>
  </si>
  <si>
    <t>extra exp</t>
  </si>
  <si>
    <t xml:space="preserve"> </t>
  </si>
  <si>
    <t>Bounce CHQ</t>
  </si>
  <si>
    <t>Grand Total</t>
  </si>
  <si>
    <t>FY15-16</t>
  </si>
  <si>
    <t>FY16-17</t>
  </si>
  <si>
    <t>Festival expense</t>
  </si>
  <si>
    <t>Federation fees</t>
  </si>
  <si>
    <t>Rain Water Harvesting</t>
  </si>
  <si>
    <t>Tranformer</t>
  </si>
  <si>
    <t>Recived bill</t>
  </si>
  <si>
    <t xml:space="preserve">Common </t>
  </si>
  <si>
    <t xml:space="preserve">Pump </t>
  </si>
  <si>
    <t>Rain water</t>
  </si>
  <si>
    <t xml:space="preserve">AMC Genset </t>
  </si>
  <si>
    <t xml:space="preserve">AMC </t>
  </si>
  <si>
    <t>15th auguest</t>
  </si>
  <si>
    <t>Paid</t>
  </si>
  <si>
    <t>Elec. Amount</t>
  </si>
  <si>
    <t>Area C-B</t>
  </si>
  <si>
    <t>Reno</t>
  </si>
  <si>
    <t>Harvesting</t>
  </si>
  <si>
    <t>Income From April2017 To March-2018</t>
  </si>
  <si>
    <t>Amul Dairy</t>
  </si>
  <si>
    <t>Car Parking</t>
  </si>
  <si>
    <t>Scraps inc.</t>
  </si>
  <si>
    <t>April-018</t>
  </si>
  <si>
    <t>May-018</t>
  </si>
  <si>
    <t>June-018</t>
  </si>
  <si>
    <t>July-018</t>
  </si>
  <si>
    <t>Aug-018</t>
  </si>
  <si>
    <t>Sep-018</t>
  </si>
  <si>
    <t>Oct-018</t>
  </si>
  <si>
    <t>Nov-018</t>
  </si>
  <si>
    <t>Dec-018</t>
  </si>
  <si>
    <t>Jan-019</t>
  </si>
  <si>
    <t>Feb-019</t>
  </si>
  <si>
    <t>Miss &amp; Exp.</t>
  </si>
  <si>
    <t>Fedration</t>
  </si>
  <si>
    <t>Professiona</t>
  </si>
  <si>
    <t>Spam</t>
  </si>
  <si>
    <t>Mar-019</t>
  </si>
  <si>
    <t>Infrastrure</t>
  </si>
  <si>
    <t>subsidy/Intrest</t>
  </si>
  <si>
    <t>Fire Fighting</t>
  </si>
  <si>
    <t>Roof Repair</t>
  </si>
  <si>
    <t>G.Rent/</t>
  </si>
  <si>
    <t>Security refund</t>
  </si>
  <si>
    <t>BSES Meter</t>
  </si>
  <si>
    <t>Units</t>
  </si>
  <si>
    <t xml:space="preserve">Society Meters </t>
  </si>
  <si>
    <t>Unit</t>
  </si>
  <si>
    <t>Diffrence</t>
  </si>
  <si>
    <t xml:space="preserve"> Stationery</t>
  </si>
  <si>
    <t>D-E</t>
  </si>
  <si>
    <t>festival exp.</t>
  </si>
  <si>
    <t>Reno. pump</t>
  </si>
  <si>
    <t>C block</t>
  </si>
  <si>
    <t>Grand total</t>
  </si>
  <si>
    <t>c6 reapir</t>
  </si>
  <si>
    <t>Fedration/agbm</t>
  </si>
  <si>
    <t>Intercom/cctv</t>
  </si>
  <si>
    <t>Ht &amp; Lt</t>
  </si>
  <si>
    <t xml:space="preserve">    </t>
  </si>
  <si>
    <t>Solar plant</t>
  </si>
  <si>
    <t>Garden Fund</t>
  </si>
  <si>
    <t>solar</t>
  </si>
  <si>
    <t>Bank Chgs/intest</t>
  </si>
  <si>
    <t>Lift advertisemnt</t>
  </si>
  <si>
    <t>Covid-19</t>
  </si>
  <si>
    <t>B-A</t>
  </si>
  <si>
    <t xml:space="preserve">Water </t>
  </si>
  <si>
    <t>Ext Project</t>
  </si>
  <si>
    <t>Subsidy</t>
  </si>
  <si>
    <t xml:space="preserve">As Per Tally </t>
  </si>
  <si>
    <t>diff</t>
  </si>
  <si>
    <t>mis exp</t>
  </si>
  <si>
    <t>office exp</t>
  </si>
  <si>
    <t>water monitoring</t>
  </si>
  <si>
    <t>As per Tally</t>
  </si>
  <si>
    <t>SUBSIDYY</t>
  </si>
  <si>
    <t>Subsudy</t>
  </si>
  <si>
    <t>COMMON AREA</t>
  </si>
  <si>
    <t>Arrea</t>
  </si>
  <si>
    <t>TOTAL</t>
  </si>
  <si>
    <t>March</t>
  </si>
  <si>
    <t>Difference</t>
  </si>
  <si>
    <t>Diff In April</t>
  </si>
  <si>
    <t>bill amt</t>
  </si>
  <si>
    <t>subsidy given</t>
  </si>
  <si>
    <t>received</t>
  </si>
  <si>
    <t>apr-19 to feb-20</t>
  </si>
  <si>
    <t>mar-20 to sep-20</t>
  </si>
  <si>
    <t>oct-20 to jul-21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</si>
</sst>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b/>
      <sz val="11"/>
      <color rgb="FFFF0000"/>
      <name val="Calibri"/>
      <family val="2"/>
      <scheme val="minor"/>
    </font>
    <font>
      <sz val="14"/>
      <color theme="1"/>
      <name val="Calibri"/>
      <family val="2"/>
      <scheme val="minor"/>
    </font>
    <font>
      <b/>
      <sz val="14"/>
      <color theme="1"/>
      <name val="Arial"/>
      <family val="2"/>
    </font>
    <font>
      <b/>
      <sz val="12"/>
      <color theme="1"/>
      <name val="Arial"/>
      <family val="2"/>
    </font>
    <font>
      <sz val="9"/>
      <color indexed="81"/>
      <name val="Tahoma"/>
      <charset val="1"/>
    </font>
    <font>
      <b/>
      <sz val="9"/>
      <color indexed="81"/>
      <name val="Tahoma"/>
      <charset val="1"/>
    </font>
    <font>
      <b/>
      <sz val="11"/>
      <color theme="1"/>
      <name val="Arial"/>
      <family val="2"/>
    </font>
    <font>
      <sz val="11"/>
      <color theme="1"/>
      <name val="Arial"/>
      <family val="2"/>
    </font>
    <font>
      <b/>
      <u val="double"/>
      <sz val="12"/>
      <color theme="1"/>
      <name val="Arial"/>
      <family val="2"/>
    </font>
    <font>
      <b/>
      <u val="double"/>
      <sz val="11"/>
      <color theme="1"/>
      <name val="Arial"/>
      <family val="2"/>
    </font>
    <font>
      <sz val="11"/>
      <color rgb="FF9C0006"/>
      <name val="Calibri"/>
      <family val="2"/>
      <scheme val="minor"/>
    </font>
    <font>
      <sz val="11"/>
      <name val="Calibri"/>
      <family val="2"/>
      <scheme val="minor"/>
    </font>
    <font>
      <sz val="11"/>
      <color theme="1"/>
      <name val="Albertus"/>
      <family val="2"/>
    </font>
    <font>
      <sz val="12"/>
      <color theme="1"/>
      <name val="Calibri"/>
      <family val="2"/>
      <scheme val="minor"/>
    </font>
    <font>
      <sz val="14"/>
      <color theme="1"/>
      <name val="Albertus"/>
      <family val="2"/>
    </font>
    <font>
      <sz val="12"/>
      <color theme="1"/>
      <name val="Albertus"/>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7CE"/>
      </patternFill>
    </fill>
    <fill>
      <patternFill patternType="solid">
        <fgColor theme="6" tint="0.59999389629810485"/>
        <bgColor indexed="64"/>
      </patternFill>
    </fill>
    <fill>
      <patternFill patternType="solid">
        <fgColor theme="5"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s>
  <cellStyleXfs count="4">
    <xf numFmtId="0" fontId="0" fillId="0" borderId="0"/>
    <xf numFmtId="9" fontId="5" fillId="0" borderId="0" applyFont="0" applyFill="0" applyBorder="0" applyAlignment="0" applyProtection="0"/>
    <xf numFmtId="43" fontId="5" fillId="0" borderId="0" applyFont="0" applyFill="0" applyBorder="0" applyAlignment="0" applyProtection="0"/>
    <xf numFmtId="0" fontId="16" fillId="4" borderId="0" applyNumberFormat="0" applyBorder="0" applyAlignment="0" applyProtection="0"/>
  </cellStyleXfs>
  <cellXfs count="181">
    <xf numFmtId="0" fontId="0" fillId="0" borderId="0" xfId="0"/>
    <xf numFmtId="4" fontId="1" fillId="0" borderId="0" xfId="0" applyNumberFormat="1" applyFont="1"/>
    <xf numFmtId="0" fontId="1" fillId="0" borderId="1" xfId="0" applyFont="1" applyBorder="1"/>
    <xf numFmtId="0" fontId="0" fillId="0" borderId="1" xfId="0" applyBorder="1"/>
    <xf numFmtId="17" fontId="0" fillId="0" borderId="1" xfId="0" applyNumberFormat="1" applyBorder="1"/>
    <xf numFmtId="4" fontId="0" fillId="0" borderId="1" xfId="0" applyNumberFormat="1" applyBorder="1"/>
    <xf numFmtId="4" fontId="1" fillId="0" borderId="1" xfId="0" applyNumberFormat="1" applyFont="1" applyBorder="1"/>
    <xf numFmtId="0" fontId="0" fillId="2" borderId="1" xfId="0" applyFill="1" applyBorder="1"/>
    <xf numFmtId="17" fontId="1" fillId="0" borderId="2" xfId="0" applyNumberFormat="1" applyFont="1" applyBorder="1"/>
    <xf numFmtId="0" fontId="0" fillId="0" borderId="2" xfId="0" applyBorder="1"/>
    <xf numFmtId="4" fontId="1" fillId="0" borderId="2" xfId="0" applyNumberFormat="1" applyFont="1" applyBorder="1"/>
    <xf numFmtId="0" fontId="1" fillId="0" borderId="2" xfId="0" applyFont="1" applyBorder="1"/>
    <xf numFmtId="4" fontId="1" fillId="0" borderId="3" xfId="0" applyNumberFormat="1" applyFont="1" applyBorder="1"/>
    <xf numFmtId="4" fontId="0" fillId="0" borderId="4" xfId="0" applyNumberFormat="1" applyFont="1" applyBorder="1"/>
    <xf numFmtId="0" fontId="1" fillId="0" borderId="0" xfId="0" applyFont="1"/>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4" xfId="0" applyBorder="1"/>
    <xf numFmtId="0" fontId="1" fillId="0" borderId="0" xfId="0" applyFont="1" applyBorder="1"/>
    <xf numFmtId="0" fontId="2" fillId="0" borderId="15" xfId="0" applyFont="1" applyBorder="1"/>
    <xf numFmtId="0" fontId="2" fillId="0" borderId="16" xfId="0" applyFont="1" applyBorder="1"/>
    <xf numFmtId="0" fontId="3" fillId="0" borderId="17" xfId="0" applyFont="1" applyBorder="1"/>
    <xf numFmtId="0" fontId="1" fillId="0" borderId="3" xfId="0" applyFont="1" applyFill="1" applyBorder="1"/>
    <xf numFmtId="0" fontId="1" fillId="0" borderId="18" xfId="0" applyFont="1" applyBorder="1"/>
    <xf numFmtId="0" fontId="1" fillId="0" borderId="0" xfId="0" applyFont="1" applyFill="1" applyBorder="1"/>
    <xf numFmtId="0" fontId="1" fillId="0" borderId="19" xfId="0" applyFont="1" applyBorder="1"/>
    <xf numFmtId="0" fontId="1" fillId="0" borderId="20" xfId="0" applyFont="1" applyBorder="1"/>
    <xf numFmtId="0" fontId="0" fillId="0" borderId="3" xfId="0" applyBorder="1"/>
    <xf numFmtId="0" fontId="1" fillId="0" borderId="21" xfId="0" applyFont="1" applyBorder="1"/>
    <xf numFmtId="0" fontId="0" fillId="0" borderId="22" xfId="0" applyBorder="1"/>
    <xf numFmtId="0" fontId="1" fillId="0" borderId="3" xfId="0" applyFont="1" applyBorder="1"/>
    <xf numFmtId="0" fontId="1" fillId="0" borderId="23" xfId="0" applyFont="1" applyBorder="1"/>
    <xf numFmtId="0" fontId="2" fillId="0" borderId="3" xfId="0" applyFont="1" applyBorder="1"/>
    <xf numFmtId="0" fontId="1" fillId="0" borderId="24" xfId="0" applyFont="1" applyBorder="1"/>
    <xf numFmtId="0" fontId="1" fillId="0" borderId="25" xfId="0" applyFont="1" applyBorder="1"/>
    <xf numFmtId="0" fontId="1" fillId="0" borderId="26" xfId="0" applyFont="1" applyFill="1" applyBorder="1"/>
    <xf numFmtId="0" fontId="1" fillId="0" borderId="27" xfId="0" applyFont="1" applyBorder="1"/>
    <xf numFmtId="0" fontId="1" fillId="0" borderId="28" xfId="0" applyFont="1" applyBorder="1"/>
    <xf numFmtId="0" fontId="2" fillId="0" borderId="20" xfId="0" applyFont="1" applyBorder="1"/>
    <xf numFmtId="0" fontId="1" fillId="0" borderId="26" xfId="0" applyFont="1" applyBorder="1"/>
    <xf numFmtId="0" fontId="0" fillId="0" borderId="29" xfId="0" applyBorder="1"/>
    <xf numFmtId="0" fontId="0" fillId="0" borderId="30" xfId="0" applyBorder="1"/>
    <xf numFmtId="0" fontId="1" fillId="0" borderId="29" xfId="0" applyFont="1" applyBorder="1"/>
    <xf numFmtId="0" fontId="1" fillId="0" borderId="31" xfId="0" applyFont="1" applyBorder="1"/>
    <xf numFmtId="0" fontId="2" fillId="0" borderId="21" xfId="0" applyFont="1" applyBorder="1"/>
    <xf numFmtId="0" fontId="1" fillId="0" borderId="22" xfId="0" applyFont="1" applyFill="1" applyBorder="1"/>
    <xf numFmtId="0" fontId="2" fillId="0" borderId="35" xfId="0" applyFont="1" applyBorder="1"/>
    <xf numFmtId="0" fontId="4" fillId="0" borderId="35" xfId="0" applyFont="1" applyBorder="1"/>
    <xf numFmtId="0" fontId="1" fillId="0" borderId="12" xfId="0" applyFont="1" applyBorder="1"/>
    <xf numFmtId="0" fontId="1" fillId="0" borderId="13" xfId="0" applyFont="1" applyBorder="1"/>
    <xf numFmtId="0" fontId="1" fillId="0" borderId="36" xfId="0" applyFont="1" applyBorder="1"/>
    <xf numFmtId="0" fontId="1" fillId="0" borderId="37" xfId="0" applyFont="1" applyBorder="1"/>
    <xf numFmtId="0" fontId="1" fillId="2" borderId="8" xfId="0" applyFont="1" applyFill="1" applyBorder="1"/>
    <xf numFmtId="0" fontId="1" fillId="2" borderId="0" xfId="0" applyFont="1" applyFill="1"/>
    <xf numFmtId="0" fontId="4" fillId="0" borderId="22" xfId="0" applyFont="1" applyBorder="1"/>
    <xf numFmtId="9" fontId="2" fillId="0" borderId="21" xfId="1" applyFont="1" applyBorder="1"/>
    <xf numFmtId="0" fontId="0" fillId="0" borderId="0" xfId="0" applyFont="1"/>
    <xf numFmtId="4" fontId="0" fillId="0" borderId="0" xfId="0" applyNumberFormat="1"/>
    <xf numFmtId="9" fontId="1" fillId="0" borderId="21" xfId="1" applyFont="1" applyBorder="1"/>
    <xf numFmtId="9" fontId="1" fillId="0" borderId="30" xfId="1" applyFont="1" applyBorder="1"/>
    <xf numFmtId="9" fontId="1" fillId="0" borderId="22" xfId="1" applyFont="1" applyBorder="1"/>
    <xf numFmtId="0" fontId="0" fillId="0" borderId="40" xfId="0" applyBorder="1"/>
    <xf numFmtId="0" fontId="0" fillId="0" borderId="41" xfId="0" applyBorder="1"/>
    <xf numFmtId="0" fontId="0" fillId="0" borderId="42" xfId="0" applyBorder="1"/>
    <xf numFmtId="0" fontId="1" fillId="0" borderId="43" xfId="0" applyFont="1" applyBorder="1"/>
    <xf numFmtId="0" fontId="0" fillId="0" borderId="0" xfId="0" applyBorder="1"/>
    <xf numFmtId="0" fontId="1" fillId="0" borderId="42" xfId="0" applyFont="1" applyBorder="1"/>
    <xf numFmtId="0" fontId="0" fillId="3" borderId="1" xfId="0" applyFill="1" applyBorder="1"/>
    <xf numFmtId="0" fontId="1" fillId="3" borderId="8" xfId="0" applyFont="1" applyFill="1" applyBorder="1"/>
    <xf numFmtId="43" fontId="0" fillId="0" borderId="1" xfId="0" applyNumberFormat="1" applyBorder="1"/>
    <xf numFmtId="0" fontId="1" fillId="3" borderId="1" xfId="0" applyFont="1" applyFill="1" applyBorder="1"/>
    <xf numFmtId="0" fontId="1" fillId="2" borderId="44" xfId="0" applyFont="1" applyFill="1" applyBorder="1"/>
    <xf numFmtId="43" fontId="1" fillId="0" borderId="0" xfId="2" applyFont="1" applyBorder="1"/>
    <xf numFmtId="0" fontId="1" fillId="2" borderId="45" xfId="0" applyFont="1" applyFill="1" applyBorder="1"/>
    <xf numFmtId="0" fontId="1" fillId="2" borderId="0" xfId="0" applyFont="1" applyFill="1" applyBorder="1"/>
    <xf numFmtId="43" fontId="0" fillId="0" borderId="0" xfId="0" applyNumberFormat="1"/>
    <xf numFmtId="43" fontId="0" fillId="2" borderId="1" xfId="0" applyNumberFormat="1" applyFill="1" applyBorder="1"/>
    <xf numFmtId="0" fontId="1" fillId="2" borderId="7" xfId="0" applyFont="1" applyFill="1" applyBorder="1"/>
    <xf numFmtId="43" fontId="1" fillId="3" borderId="1" xfId="0" applyNumberFormat="1" applyFont="1" applyFill="1" applyBorder="1"/>
    <xf numFmtId="43" fontId="0" fillId="3" borderId="1" xfId="0" applyNumberFormat="1" applyFill="1" applyBorder="1"/>
    <xf numFmtId="0" fontId="1" fillId="3" borderId="0" xfId="0" applyFont="1" applyFill="1" applyBorder="1"/>
    <xf numFmtId="0" fontId="0" fillId="3" borderId="0" xfId="0" applyFill="1" applyBorder="1"/>
    <xf numFmtId="9" fontId="2" fillId="0" borderId="0" xfId="1" applyFont="1" applyBorder="1"/>
    <xf numFmtId="0" fontId="1" fillId="0" borderId="30" xfId="0" applyFont="1" applyBorder="1" applyAlignment="1"/>
    <xf numFmtId="0" fontId="2" fillId="0" borderId="9" xfId="0" applyFont="1" applyBorder="1"/>
    <xf numFmtId="0" fontId="2" fillId="0" borderId="40" xfId="0" applyFont="1" applyBorder="1"/>
    <xf numFmtId="0" fontId="2" fillId="0" borderId="41" xfId="0" applyFont="1" applyBorder="1"/>
    <xf numFmtId="0" fontId="2" fillId="0" borderId="42" xfId="0" applyFont="1" applyBorder="1"/>
    <xf numFmtId="1" fontId="0" fillId="0" borderId="0" xfId="0" applyNumberFormat="1" applyAlignment="1">
      <alignment horizontal="left"/>
    </xf>
    <xf numFmtId="1" fontId="1" fillId="0" borderId="0" xfId="0" applyNumberFormat="1" applyFont="1" applyAlignment="1">
      <alignment horizontal="left"/>
    </xf>
    <xf numFmtId="0" fontId="2" fillId="0" borderId="0" xfId="0" applyFont="1" applyFill="1" applyBorder="1"/>
    <xf numFmtId="0" fontId="1" fillId="2" borderId="23" xfId="0" applyFont="1" applyFill="1" applyBorder="1"/>
    <xf numFmtId="0" fontId="0" fillId="0" borderId="29" xfId="0" applyFill="1" applyBorder="1"/>
    <xf numFmtId="16" fontId="0" fillId="0" borderId="1" xfId="0" applyNumberFormat="1" applyBorder="1"/>
    <xf numFmtId="0" fontId="3" fillId="0" borderId="1" xfId="0" applyFont="1" applyBorder="1"/>
    <xf numFmtId="0" fontId="7" fillId="0" borderId="1" xfId="0" applyFont="1" applyBorder="1"/>
    <xf numFmtId="0" fontId="8" fillId="0" borderId="0" xfId="0" applyFont="1"/>
    <xf numFmtId="17" fontId="0" fillId="0" borderId="10" xfId="0" applyNumberFormat="1" applyBorder="1"/>
    <xf numFmtId="0" fontId="0" fillId="3" borderId="11" xfId="0" applyFill="1" applyBorder="1"/>
    <xf numFmtId="0" fontId="0" fillId="0" borderId="35" xfId="0" applyBorder="1"/>
    <xf numFmtId="0" fontId="9" fillId="0" borderId="26" xfId="0" applyFont="1" applyFill="1" applyBorder="1"/>
    <xf numFmtId="0" fontId="9" fillId="0" borderId="19" xfId="0" applyFont="1" applyBorder="1"/>
    <xf numFmtId="0" fontId="3" fillId="0" borderId="27" xfId="0" applyFont="1" applyBorder="1"/>
    <xf numFmtId="0" fontId="9" fillId="0" borderId="26" xfId="0" applyFont="1" applyBorder="1"/>
    <xf numFmtId="0" fontId="9" fillId="0" borderId="27" xfId="0" applyFont="1" applyBorder="1"/>
    <xf numFmtId="0" fontId="9" fillId="0" borderId="13" xfId="0" applyFont="1" applyBorder="1"/>
    <xf numFmtId="0" fontId="8" fillId="0" borderId="35" xfId="0" applyFont="1" applyBorder="1"/>
    <xf numFmtId="0" fontId="7" fillId="0" borderId="0" xfId="0" applyFont="1"/>
    <xf numFmtId="0" fontId="12" fillId="0" borderId="1" xfId="0" applyFont="1" applyBorder="1" applyAlignment="1">
      <alignment horizontal="center"/>
    </xf>
    <xf numFmtId="16" fontId="13" fillId="0" borderId="1" xfId="0" applyNumberFormat="1" applyFont="1" applyBorder="1" applyAlignment="1">
      <alignment horizontal="center"/>
    </xf>
    <xf numFmtId="0" fontId="13" fillId="0" borderId="1" xfId="0" applyFont="1" applyBorder="1" applyAlignment="1">
      <alignment horizontal="center"/>
    </xf>
    <xf numFmtId="0" fontId="12" fillId="0" borderId="29" xfId="0" applyFont="1" applyBorder="1" applyAlignment="1">
      <alignment horizontal="center"/>
    </xf>
    <xf numFmtId="0" fontId="12" fillId="0" borderId="2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12" fillId="0" borderId="31" xfId="0" applyFont="1" applyBorder="1" applyAlignment="1">
      <alignment horizontal="center"/>
    </xf>
    <xf numFmtId="0" fontId="12" fillId="0" borderId="12" xfId="0" applyFont="1" applyBorder="1" applyAlignment="1">
      <alignment horizontal="center"/>
    </xf>
    <xf numFmtId="0" fontId="12" fillId="0" borderId="3" xfId="0" applyFont="1" applyFill="1" applyBorder="1" applyAlignment="1">
      <alignment horizontal="center"/>
    </xf>
    <xf numFmtId="17" fontId="13" fillId="0" borderId="10" xfId="0" applyNumberFormat="1" applyFont="1" applyBorder="1" applyAlignment="1">
      <alignment horizontal="center"/>
    </xf>
    <xf numFmtId="0" fontId="13" fillId="0" borderId="11" xfId="0" applyFont="1" applyBorder="1" applyAlignment="1">
      <alignment horizontal="center"/>
    </xf>
    <xf numFmtId="0" fontId="13" fillId="3" borderId="11" xfId="0" applyFont="1" applyFill="1" applyBorder="1" applyAlignment="1">
      <alignment horizontal="center"/>
    </xf>
    <xf numFmtId="0" fontId="13" fillId="0" borderId="12" xfId="0" applyFont="1" applyBorder="1" applyAlignment="1">
      <alignment horizontal="center"/>
    </xf>
    <xf numFmtId="0" fontId="13" fillId="0" borderId="35" xfId="0" applyFont="1" applyBorder="1" applyAlignment="1">
      <alignment horizontal="center"/>
    </xf>
    <xf numFmtId="0" fontId="14" fillId="0" borderId="26" xfId="0" applyFont="1" applyFill="1" applyBorder="1" applyAlignment="1">
      <alignment horizontal="center"/>
    </xf>
    <xf numFmtId="0" fontId="14" fillId="0" borderId="19" xfId="0" applyFont="1" applyBorder="1" applyAlignment="1">
      <alignment horizontal="center"/>
    </xf>
    <xf numFmtId="0" fontId="14" fillId="0" borderId="26" xfId="0" applyFont="1" applyBorder="1" applyAlignment="1">
      <alignment horizontal="center"/>
    </xf>
    <xf numFmtId="0" fontId="14" fillId="0" borderId="13" xfId="0" applyFont="1" applyBorder="1" applyAlignment="1">
      <alignment horizontal="center"/>
    </xf>
    <xf numFmtId="0" fontId="15" fillId="0" borderId="35" xfId="0" applyFont="1" applyBorder="1" applyAlignment="1">
      <alignment horizontal="center"/>
    </xf>
    <xf numFmtId="0" fontId="12" fillId="0" borderId="23" xfId="0" applyFont="1" applyFill="1" applyBorder="1" applyAlignment="1">
      <alignment horizontal="center"/>
    </xf>
    <xf numFmtId="0" fontId="13" fillId="0" borderId="1" xfId="0" applyFont="1" applyFill="1" applyBorder="1" applyAlignment="1">
      <alignment horizontal="center"/>
    </xf>
    <xf numFmtId="0" fontId="0" fillId="0" borderId="1" xfId="0" applyFont="1" applyBorder="1" applyAlignment="1">
      <alignment horizontal="center"/>
    </xf>
    <xf numFmtId="0" fontId="1" fillId="0" borderId="1" xfId="0" applyFont="1" applyFill="1" applyBorder="1"/>
    <xf numFmtId="0" fontId="13" fillId="0" borderId="1" xfId="0" applyFont="1" applyBorder="1"/>
    <xf numFmtId="0" fontId="12" fillId="0" borderId="1" xfId="0" applyFont="1" applyBorder="1"/>
    <xf numFmtId="0" fontId="13" fillId="0" borderId="14" xfId="0" applyFont="1" applyBorder="1" applyAlignment="1">
      <alignment horizontal="center"/>
    </xf>
    <xf numFmtId="0" fontId="0" fillId="0" borderId="1" xfId="0" applyBorder="1" applyAlignment="1">
      <alignment horizontal="center"/>
    </xf>
    <xf numFmtId="0" fontId="9" fillId="0" borderId="1" xfId="0" applyFont="1" applyBorder="1" applyAlignment="1">
      <alignment horizontal="center"/>
    </xf>
    <xf numFmtId="0" fontId="2" fillId="0" borderId="1" xfId="0" applyFont="1" applyBorder="1"/>
    <xf numFmtId="0" fontId="12" fillId="0" borderId="46" xfId="0" applyFont="1" applyBorder="1" applyAlignment="1">
      <alignment horizontal="center"/>
    </xf>
    <xf numFmtId="0" fontId="12" fillId="0" borderId="22" xfId="0" applyFont="1" applyFill="1" applyBorder="1" applyAlignment="1">
      <alignment horizontal="center"/>
    </xf>
    <xf numFmtId="0" fontId="9" fillId="0" borderId="19" xfId="0" applyFont="1" applyBorder="1" applyAlignment="1">
      <alignment horizontal="center"/>
    </xf>
    <xf numFmtId="0" fontId="9" fillId="0" borderId="26" xfId="0" applyFont="1" applyBorder="1" applyAlignment="1">
      <alignment horizontal="center"/>
    </xf>
    <xf numFmtId="0" fontId="9" fillId="0" borderId="13" xfId="0" applyFont="1" applyBorder="1" applyAlignment="1">
      <alignment horizontal="center"/>
    </xf>
    <xf numFmtId="0" fontId="12" fillId="0" borderId="35" xfId="0" applyFont="1" applyBorder="1" applyAlignment="1">
      <alignment horizontal="center"/>
    </xf>
    <xf numFmtId="0" fontId="9" fillId="0" borderId="26" xfId="0" applyFont="1" applyFill="1" applyBorder="1" applyAlignment="1">
      <alignment horizontal="center"/>
    </xf>
    <xf numFmtId="0" fontId="17" fillId="3" borderId="1" xfId="3" applyFont="1" applyFill="1" applyBorder="1" applyAlignment="1">
      <alignment horizontal="center"/>
    </xf>
    <xf numFmtId="0" fontId="0" fillId="0" borderId="0" xfId="0" applyAlignment="1">
      <alignment horizontal="center"/>
    </xf>
    <xf numFmtId="0" fontId="16" fillId="4" borderId="1" xfId="3" applyBorder="1" applyAlignment="1">
      <alignment horizontal="center"/>
    </xf>
    <xf numFmtId="0" fontId="17" fillId="3" borderId="1" xfId="0" applyFont="1" applyFill="1" applyBorder="1" applyAlignment="1">
      <alignment horizontal="center"/>
    </xf>
    <xf numFmtId="0" fontId="18" fillId="0" borderId="0" xfId="0" applyFont="1" applyAlignment="1">
      <alignment horizontal="center"/>
    </xf>
    <xf numFmtId="0" fontId="13" fillId="0" borderId="0" xfId="0" applyFont="1" applyFill="1" applyBorder="1" applyAlignment="1">
      <alignment horizontal="center"/>
    </xf>
    <xf numFmtId="0" fontId="19" fillId="0" borderId="0" xfId="0" applyFont="1" applyAlignment="1">
      <alignment horizontal="center"/>
    </xf>
    <xf numFmtId="0" fontId="0" fillId="2" borderId="0" xfId="0" applyFill="1" applyAlignment="1">
      <alignment horizontal="center"/>
    </xf>
    <xf numFmtId="0" fontId="0" fillId="5" borderId="0" xfId="0" applyFill="1"/>
    <xf numFmtId="0" fontId="13" fillId="3" borderId="1" xfId="0" applyFont="1" applyFill="1" applyBorder="1" applyAlignment="1">
      <alignment horizontal="center"/>
    </xf>
    <xf numFmtId="0" fontId="5" fillId="3" borderId="1" xfId="3" applyFont="1" applyFill="1" applyBorder="1" applyAlignment="1">
      <alignment horizontal="center"/>
    </xf>
    <xf numFmtId="0" fontId="5" fillId="3" borderId="12" xfId="3" applyFont="1" applyFill="1" applyBorder="1" applyAlignment="1">
      <alignment horizontal="center"/>
    </xf>
    <xf numFmtId="0" fontId="13" fillId="3" borderId="12" xfId="0" applyFont="1" applyFill="1" applyBorder="1" applyAlignment="1">
      <alignment horizontal="center"/>
    </xf>
    <xf numFmtId="0" fontId="13" fillId="3" borderId="14" xfId="0" applyFont="1" applyFill="1" applyBorder="1" applyAlignment="1">
      <alignment horizontal="center"/>
    </xf>
    <xf numFmtId="0" fontId="20" fillId="6" borderId="0" xfId="0" applyFont="1" applyFill="1" applyAlignment="1">
      <alignment horizontal="center"/>
    </xf>
    <xf numFmtId="0" fontId="13" fillId="5" borderId="0" xfId="0" applyFont="1" applyFill="1" applyBorder="1" applyAlignment="1">
      <alignment horizontal="center"/>
    </xf>
    <xf numFmtId="0" fontId="19" fillId="5" borderId="0" xfId="0" applyFont="1" applyFill="1" applyAlignment="1">
      <alignment horizontal="center"/>
    </xf>
    <xf numFmtId="0" fontId="0" fillId="5" borderId="0" xfId="0" applyFill="1" applyAlignment="1">
      <alignment horizontal="center"/>
    </xf>
    <xf numFmtId="0" fontId="21" fillId="0" borderId="0" xfId="0" applyFont="1" applyAlignment="1">
      <alignment horizontal="center"/>
    </xf>
    <xf numFmtId="0" fontId="16" fillId="4" borderId="0" xfId="3" applyAlignment="1">
      <alignment horizontal="center"/>
    </xf>
    <xf numFmtId="0" fontId="1" fillId="0" borderId="5" xfId="0" applyFont="1" applyBorder="1" applyAlignment="1"/>
    <xf numFmtId="0" fontId="1" fillId="0" borderId="6" xfId="0" applyFont="1" applyBorder="1" applyAlignment="1"/>
    <xf numFmtId="0" fontId="1" fillId="0" borderId="38" xfId="0" applyFont="1" applyBorder="1" applyAlignment="1"/>
    <xf numFmtId="0" fontId="1" fillId="0" borderId="27" xfId="0" applyFont="1" applyBorder="1" applyAlignment="1"/>
    <xf numFmtId="0" fontId="0" fillId="0" borderId="39" xfId="0" applyBorder="1" applyAlignment="1"/>
    <xf numFmtId="0" fontId="1" fillId="0" borderId="32" xfId="0" applyFont="1" applyBorder="1" applyAlignment="1"/>
    <xf numFmtId="0" fontId="1" fillId="0" borderId="33" xfId="0" applyFont="1" applyBorder="1" applyAlignment="1"/>
    <xf numFmtId="0" fontId="0" fillId="0" borderId="34" xfId="0" applyBorder="1" applyAlignment="1"/>
    <xf numFmtId="16" fontId="0" fillId="0" borderId="0" xfId="0" applyNumberFormat="1"/>
  </cellXfs>
  <cellStyles count="4">
    <cellStyle name="Bad" xfId="3" builtinId="27"/>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Sanjeev\Society\PARAG-BS-14-revis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sheetName val="I &amp; E"/>
      <sheetName val="Sch"/>
      <sheetName val="R &amp; P"/>
      <sheetName val="Fixed Assets"/>
    </sheetNames>
    <sheetDataSet>
      <sheetData sheetId="0"/>
      <sheetData sheetId="1">
        <row r="16">
          <cell r="D16">
            <v>4282</v>
          </cell>
        </row>
        <row r="18">
          <cell r="D18">
            <v>4373122</v>
          </cell>
        </row>
        <row r="20">
          <cell r="D20">
            <v>20752</v>
          </cell>
        </row>
        <row r="21">
          <cell r="D21">
            <v>141849</v>
          </cell>
        </row>
        <row r="24">
          <cell r="D24">
            <v>255063</v>
          </cell>
        </row>
        <row r="26">
          <cell r="D26">
            <v>12901</v>
          </cell>
        </row>
        <row r="27">
          <cell r="D27">
            <v>12879</v>
          </cell>
        </row>
        <row r="29">
          <cell r="D29">
            <v>272640</v>
          </cell>
        </row>
        <row r="31">
          <cell r="D31">
            <v>319998</v>
          </cell>
        </row>
        <row r="32">
          <cell r="D32">
            <v>262994</v>
          </cell>
        </row>
        <row r="33">
          <cell r="D33">
            <v>42405</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S22"/>
  <sheetViews>
    <sheetView topLeftCell="A3" workbookViewId="0">
      <selection activeCell="A5" sqref="A5:S18"/>
    </sheetView>
  </sheetViews>
  <sheetFormatPr defaultRowHeight="15"/>
  <cols>
    <col min="2" max="2" width="10" customWidth="1"/>
    <col min="3" max="3" width="10.7109375" customWidth="1"/>
    <col min="12" max="12" width="10.28515625" customWidth="1"/>
    <col min="13" max="13" width="11.42578125" customWidth="1"/>
    <col min="19" max="19" width="14" bestFit="1" customWidth="1"/>
    <col min="20" max="20" width="11.28515625" customWidth="1"/>
  </cols>
  <sheetData>
    <row r="3" spans="1:19" ht="18">
      <c r="D3" s="103" t="s">
        <v>230</v>
      </c>
      <c r="E3" s="103"/>
      <c r="F3" s="103"/>
      <c r="G3" s="103"/>
    </row>
    <row r="4" spans="1:19" ht="15.75" thickBot="1"/>
    <row r="5" spans="1:19" ht="15.75" thickBot="1">
      <c r="A5" s="49" t="s">
        <v>22</v>
      </c>
      <c r="B5" s="38" t="s">
        <v>71</v>
      </c>
      <c r="C5" s="38" t="s">
        <v>72</v>
      </c>
      <c r="D5" s="38" t="s">
        <v>231</v>
      </c>
      <c r="E5" s="38" t="s">
        <v>78</v>
      </c>
      <c r="F5" s="38" t="s">
        <v>76</v>
      </c>
      <c r="G5" s="38" t="s">
        <v>79</v>
      </c>
      <c r="H5" s="38" t="s">
        <v>153</v>
      </c>
      <c r="I5" s="38" t="s">
        <v>232</v>
      </c>
      <c r="J5" s="38" t="s">
        <v>233</v>
      </c>
      <c r="K5" s="38" t="s">
        <v>59</v>
      </c>
      <c r="L5" s="25" t="s">
        <v>156</v>
      </c>
      <c r="M5" s="31" t="s">
        <v>20</v>
      </c>
      <c r="N5" s="38" t="s">
        <v>75</v>
      </c>
      <c r="O5" s="73" t="s">
        <v>127</v>
      </c>
      <c r="P5" s="50" t="s">
        <v>73</v>
      </c>
      <c r="Q5" s="25" t="s">
        <v>20</v>
      </c>
      <c r="R5" s="55" t="s">
        <v>77</v>
      </c>
      <c r="S5" s="29" t="s">
        <v>211</v>
      </c>
    </row>
    <row r="6" spans="1:19" ht="15.75" thickBot="1">
      <c r="A6" s="104">
        <v>42826</v>
      </c>
      <c r="B6" s="20">
        <v>273200</v>
      </c>
      <c r="C6" s="20">
        <v>217568</v>
      </c>
      <c r="D6" s="105">
        <v>0</v>
      </c>
      <c r="E6" s="105">
        <v>22000</v>
      </c>
      <c r="F6" s="20">
        <v>4500</v>
      </c>
      <c r="G6" s="20">
        <v>1100</v>
      </c>
      <c r="H6" s="20">
        <v>684</v>
      </c>
      <c r="I6" s="20">
        <v>0</v>
      </c>
      <c r="J6" s="20"/>
      <c r="K6" s="3">
        <v>3135</v>
      </c>
      <c r="L6" s="3">
        <v>62000</v>
      </c>
      <c r="M6" s="43">
        <f>SUM(B6:L6)</f>
        <v>584187</v>
      </c>
      <c r="N6" s="20">
        <v>12000</v>
      </c>
      <c r="O6" s="20">
        <v>0</v>
      </c>
      <c r="P6" s="20">
        <v>31500</v>
      </c>
      <c r="Q6" s="43">
        <f t="shared" ref="Q6:Q18" si="0">SUM(N6:P6)</f>
        <v>43500</v>
      </c>
      <c r="R6" s="21">
        <v>50000</v>
      </c>
      <c r="S6" s="106">
        <f>SUM(M6+Q6+R6)</f>
        <v>677687</v>
      </c>
    </row>
    <row r="7" spans="1:19" ht="15.75" thickBot="1">
      <c r="A7" s="104">
        <v>42856</v>
      </c>
      <c r="B7" s="3">
        <v>1595202</v>
      </c>
      <c r="C7" s="3">
        <v>379319</v>
      </c>
      <c r="D7" s="3">
        <v>10000</v>
      </c>
      <c r="E7" s="3"/>
      <c r="F7" s="3">
        <v>6000</v>
      </c>
      <c r="G7" s="3">
        <v>1500</v>
      </c>
      <c r="H7" s="3">
        <v>684</v>
      </c>
      <c r="I7" s="3">
        <v>0</v>
      </c>
      <c r="J7" s="3"/>
      <c r="K7" s="3">
        <v>4025</v>
      </c>
      <c r="L7" s="3">
        <v>71000</v>
      </c>
      <c r="M7" s="43">
        <f t="shared" ref="M7:M18" si="1">SUM(B7:L7)</f>
        <v>2067730</v>
      </c>
      <c r="N7" s="3">
        <v>20000</v>
      </c>
      <c r="O7" s="3"/>
      <c r="P7" s="3">
        <v>192500</v>
      </c>
      <c r="Q7" s="43">
        <f t="shared" si="0"/>
        <v>212500</v>
      </c>
      <c r="R7" s="21">
        <v>0</v>
      </c>
      <c r="S7" s="106">
        <f t="shared" ref="S7:S18" si="2">SUM(M7+Q7+R7)</f>
        <v>2280230</v>
      </c>
    </row>
    <row r="8" spans="1:19" ht="15.75" thickBot="1">
      <c r="A8" s="104">
        <v>42887</v>
      </c>
      <c r="B8" s="3">
        <v>290000</v>
      </c>
      <c r="C8" s="3">
        <v>605877</v>
      </c>
      <c r="D8" s="3">
        <v>0</v>
      </c>
      <c r="E8" s="3">
        <v>0</v>
      </c>
      <c r="F8" s="3">
        <v>1500</v>
      </c>
      <c r="G8" s="3">
        <v>600</v>
      </c>
      <c r="H8" s="3">
        <v>684</v>
      </c>
      <c r="I8" s="3">
        <v>0</v>
      </c>
      <c r="J8" s="3">
        <v>3250</v>
      </c>
      <c r="K8" s="3">
        <v>3745</v>
      </c>
      <c r="L8" s="3">
        <v>66800</v>
      </c>
      <c r="M8" s="43">
        <f t="shared" si="1"/>
        <v>972456</v>
      </c>
      <c r="N8" s="3">
        <v>4000</v>
      </c>
      <c r="O8" s="3"/>
      <c r="P8" s="3">
        <v>49000</v>
      </c>
      <c r="Q8" s="43">
        <f t="shared" si="0"/>
        <v>53000</v>
      </c>
      <c r="R8" s="21">
        <v>0</v>
      </c>
      <c r="S8" s="106">
        <f t="shared" si="2"/>
        <v>1025456</v>
      </c>
    </row>
    <row r="9" spans="1:19" ht="15.75" thickBot="1">
      <c r="A9" s="104">
        <v>42917</v>
      </c>
      <c r="B9" s="3">
        <v>182852</v>
      </c>
      <c r="C9" s="3">
        <v>548179</v>
      </c>
      <c r="D9" s="3">
        <v>10000</v>
      </c>
      <c r="E9" s="3">
        <v>18200</v>
      </c>
      <c r="F9" s="3">
        <v>3000</v>
      </c>
      <c r="G9" s="3">
        <v>700</v>
      </c>
      <c r="H9" s="3">
        <v>684</v>
      </c>
      <c r="I9" s="3">
        <v>0</v>
      </c>
      <c r="J9" s="3">
        <v>9380</v>
      </c>
      <c r="K9" s="3">
        <v>4235</v>
      </c>
      <c r="L9" s="3">
        <v>74000</v>
      </c>
      <c r="M9" s="43">
        <f t="shared" si="1"/>
        <v>851230</v>
      </c>
      <c r="N9" s="3">
        <v>4000</v>
      </c>
      <c r="O9" s="3"/>
      <c r="P9" s="3">
        <v>17500</v>
      </c>
      <c r="Q9" s="43">
        <f t="shared" si="0"/>
        <v>21500</v>
      </c>
      <c r="R9" s="21">
        <v>0</v>
      </c>
      <c r="S9" s="106">
        <f t="shared" si="2"/>
        <v>872730</v>
      </c>
    </row>
    <row r="10" spans="1:19" ht="15.75" thickBot="1">
      <c r="A10" s="104">
        <v>42948</v>
      </c>
      <c r="B10" s="3">
        <v>215100</v>
      </c>
      <c r="C10" s="3">
        <v>609634</v>
      </c>
      <c r="D10" s="3">
        <v>0</v>
      </c>
      <c r="E10" s="3">
        <v>1000</v>
      </c>
      <c r="F10" s="3">
        <v>3000</v>
      </c>
      <c r="G10" s="3">
        <v>1400</v>
      </c>
      <c r="H10" s="3">
        <v>0</v>
      </c>
      <c r="I10" s="3">
        <v>5600</v>
      </c>
      <c r="J10" s="3">
        <v>600</v>
      </c>
      <c r="K10" s="3">
        <v>4025</v>
      </c>
      <c r="L10" s="3">
        <v>70400</v>
      </c>
      <c r="M10" s="43">
        <f t="shared" si="1"/>
        <v>910759</v>
      </c>
      <c r="N10" s="3">
        <v>4000</v>
      </c>
      <c r="O10" s="3"/>
      <c r="P10" s="3">
        <v>24500</v>
      </c>
      <c r="Q10" s="43">
        <f t="shared" si="0"/>
        <v>28500</v>
      </c>
      <c r="R10" s="21">
        <v>0</v>
      </c>
      <c r="S10" s="106">
        <f t="shared" si="2"/>
        <v>939259</v>
      </c>
    </row>
    <row r="11" spans="1:19" ht="15.75" thickBot="1">
      <c r="A11" s="104">
        <v>42979</v>
      </c>
      <c r="B11" s="3">
        <v>528300</v>
      </c>
      <c r="C11" s="3">
        <v>499225</v>
      </c>
      <c r="D11" s="3">
        <v>20000</v>
      </c>
      <c r="E11" s="3">
        <v>0</v>
      </c>
      <c r="F11" s="3">
        <v>6000</v>
      </c>
      <c r="G11" s="3">
        <v>1200</v>
      </c>
      <c r="H11" s="3">
        <v>228</v>
      </c>
      <c r="I11" s="3">
        <v>6500</v>
      </c>
      <c r="J11" s="3">
        <v>0</v>
      </c>
      <c r="K11" s="3">
        <v>3955</v>
      </c>
      <c r="L11" s="3">
        <v>67900</v>
      </c>
      <c r="M11" s="43">
        <f t="shared" si="1"/>
        <v>1133308</v>
      </c>
      <c r="N11" s="3">
        <v>4000</v>
      </c>
      <c r="O11" s="3"/>
      <c r="P11" s="3">
        <v>67900</v>
      </c>
      <c r="Q11" s="43">
        <f t="shared" si="0"/>
        <v>71900</v>
      </c>
      <c r="R11" s="21">
        <v>0</v>
      </c>
      <c r="S11" s="106">
        <f t="shared" si="2"/>
        <v>1205208</v>
      </c>
    </row>
    <row r="12" spans="1:19" ht="15.75" thickBot="1">
      <c r="A12" s="104">
        <v>43009</v>
      </c>
      <c r="B12" s="3">
        <v>128500</v>
      </c>
      <c r="C12" s="3">
        <v>484998</v>
      </c>
      <c r="D12" s="3">
        <v>0</v>
      </c>
      <c r="E12" s="3">
        <v>1000</v>
      </c>
      <c r="F12" s="3">
        <v>3000</v>
      </c>
      <c r="G12" s="3">
        <v>1750</v>
      </c>
      <c r="H12" s="3">
        <v>684</v>
      </c>
      <c r="I12" s="3">
        <v>5000</v>
      </c>
      <c r="J12" s="3">
        <v>0</v>
      </c>
      <c r="K12" s="3">
        <v>4060</v>
      </c>
      <c r="L12" s="3">
        <v>70400</v>
      </c>
      <c r="M12" s="43">
        <f t="shared" si="1"/>
        <v>699392</v>
      </c>
      <c r="N12" s="3">
        <v>4000</v>
      </c>
      <c r="O12" s="3">
        <v>0</v>
      </c>
      <c r="P12" s="3">
        <v>0</v>
      </c>
      <c r="Q12" s="43">
        <f t="shared" si="0"/>
        <v>4000</v>
      </c>
      <c r="R12" s="21">
        <v>0</v>
      </c>
      <c r="S12" s="106">
        <f t="shared" si="2"/>
        <v>703392</v>
      </c>
    </row>
    <row r="13" spans="1:19" ht="15.75" thickBot="1">
      <c r="A13" s="104">
        <v>43040</v>
      </c>
      <c r="B13" s="3">
        <v>72400</v>
      </c>
      <c r="C13" s="3">
        <v>309220</v>
      </c>
      <c r="D13" s="3">
        <v>15600</v>
      </c>
      <c r="E13" s="3">
        <v>1000</v>
      </c>
      <c r="F13" s="3">
        <v>0</v>
      </c>
      <c r="G13" s="3">
        <v>1200</v>
      </c>
      <c r="H13" s="3">
        <v>228</v>
      </c>
      <c r="I13" s="3">
        <v>5800</v>
      </c>
      <c r="J13" s="3">
        <v>0</v>
      </c>
      <c r="K13" s="3">
        <v>39990</v>
      </c>
      <c r="L13" s="3">
        <v>69800</v>
      </c>
      <c r="M13" s="43">
        <f t="shared" si="1"/>
        <v>515238</v>
      </c>
      <c r="N13" s="3">
        <v>0</v>
      </c>
      <c r="O13" s="3">
        <v>0</v>
      </c>
      <c r="P13" s="3">
        <v>3500</v>
      </c>
      <c r="Q13" s="43">
        <f t="shared" si="0"/>
        <v>3500</v>
      </c>
      <c r="R13" s="21">
        <v>0</v>
      </c>
      <c r="S13" s="106">
        <f t="shared" si="2"/>
        <v>518738</v>
      </c>
    </row>
    <row r="14" spans="1:19" ht="15.75" thickBot="1">
      <c r="A14" s="104">
        <v>43070</v>
      </c>
      <c r="B14" s="3">
        <v>190920</v>
      </c>
      <c r="C14" s="3">
        <v>248119</v>
      </c>
      <c r="D14" s="3">
        <v>15000</v>
      </c>
      <c r="E14" s="3">
        <v>7000</v>
      </c>
      <c r="F14" s="3">
        <v>3000</v>
      </c>
      <c r="G14" s="3">
        <v>850</v>
      </c>
      <c r="H14" s="3">
        <v>228</v>
      </c>
      <c r="I14" s="3">
        <v>6400</v>
      </c>
      <c r="J14" s="3">
        <v>3200</v>
      </c>
      <c r="K14" s="3">
        <v>4025</v>
      </c>
      <c r="L14" s="3">
        <v>69200</v>
      </c>
      <c r="M14" s="43">
        <f t="shared" si="1"/>
        <v>547942</v>
      </c>
      <c r="N14" s="3">
        <v>4000</v>
      </c>
      <c r="O14" s="3"/>
      <c r="P14" s="3">
        <v>11200</v>
      </c>
      <c r="Q14" s="43">
        <f t="shared" si="0"/>
        <v>15200</v>
      </c>
      <c r="R14" s="21">
        <v>0</v>
      </c>
      <c r="S14" s="106">
        <f t="shared" si="2"/>
        <v>563142</v>
      </c>
    </row>
    <row r="15" spans="1:19" ht="15.75" thickBot="1">
      <c r="A15" s="104">
        <v>43101</v>
      </c>
      <c r="B15" s="3">
        <v>121100</v>
      </c>
      <c r="C15" s="3">
        <v>275475</v>
      </c>
      <c r="D15" s="3">
        <v>0</v>
      </c>
      <c r="E15" s="3">
        <v>2500</v>
      </c>
      <c r="F15" s="3">
        <v>6000</v>
      </c>
      <c r="G15" s="3">
        <v>1000</v>
      </c>
      <c r="H15" s="3">
        <v>828</v>
      </c>
      <c r="I15" s="3">
        <v>6000</v>
      </c>
      <c r="J15" s="3">
        <v>0</v>
      </c>
      <c r="K15" s="3">
        <v>4025</v>
      </c>
      <c r="L15" s="3">
        <v>69800</v>
      </c>
      <c r="M15" s="43">
        <f t="shared" si="1"/>
        <v>486728</v>
      </c>
      <c r="N15" s="3">
        <v>0</v>
      </c>
      <c r="O15" s="3">
        <v>3000</v>
      </c>
      <c r="P15" s="3">
        <v>14700</v>
      </c>
      <c r="Q15" s="43">
        <f t="shared" si="0"/>
        <v>17700</v>
      </c>
      <c r="R15" s="21">
        <v>50000</v>
      </c>
      <c r="S15" s="106">
        <f t="shared" si="2"/>
        <v>554428</v>
      </c>
    </row>
    <row r="16" spans="1:19" ht="15.75" thickBot="1">
      <c r="A16" s="104">
        <v>43132</v>
      </c>
      <c r="B16" s="3">
        <v>116900</v>
      </c>
      <c r="C16" s="3">
        <v>314311</v>
      </c>
      <c r="D16" s="3">
        <v>18000</v>
      </c>
      <c r="E16" s="3">
        <v>3000</v>
      </c>
      <c r="F16" s="3">
        <v>0</v>
      </c>
      <c r="G16" s="3">
        <v>1200</v>
      </c>
      <c r="H16" s="3">
        <v>684</v>
      </c>
      <c r="I16" s="3">
        <v>8000</v>
      </c>
      <c r="J16" s="3">
        <v>0</v>
      </c>
      <c r="K16" s="3">
        <v>4495</v>
      </c>
      <c r="L16" s="3">
        <v>68400</v>
      </c>
      <c r="M16" s="43">
        <f t="shared" si="1"/>
        <v>534990</v>
      </c>
      <c r="N16" s="3">
        <v>0</v>
      </c>
      <c r="O16" s="3">
        <v>0</v>
      </c>
      <c r="P16" s="3">
        <v>0</v>
      </c>
      <c r="Q16" s="43">
        <f t="shared" si="0"/>
        <v>0</v>
      </c>
      <c r="R16" s="21">
        <v>0</v>
      </c>
      <c r="S16" s="106">
        <f t="shared" si="2"/>
        <v>534990</v>
      </c>
    </row>
    <row r="17" spans="1:19" ht="15.75" thickBot="1">
      <c r="A17" s="104">
        <v>43160</v>
      </c>
      <c r="B17" s="23">
        <v>90600</v>
      </c>
      <c r="C17" s="23">
        <v>274622</v>
      </c>
      <c r="D17" s="23">
        <v>8000</v>
      </c>
      <c r="E17" s="23">
        <v>1000</v>
      </c>
      <c r="F17" s="23">
        <v>3000</v>
      </c>
      <c r="G17" s="23">
        <v>2100</v>
      </c>
      <c r="H17" s="23">
        <v>1140</v>
      </c>
      <c r="I17" s="23">
        <v>8500</v>
      </c>
      <c r="J17" s="23">
        <v>1300</v>
      </c>
      <c r="K17" s="3">
        <v>4690</v>
      </c>
      <c r="L17" s="3">
        <v>79400</v>
      </c>
      <c r="M17" s="43">
        <f t="shared" si="1"/>
        <v>474352</v>
      </c>
      <c r="N17" s="3">
        <v>4000</v>
      </c>
      <c r="O17" s="3"/>
      <c r="P17" s="3"/>
      <c r="Q17" s="43">
        <f t="shared" si="0"/>
        <v>4000</v>
      </c>
      <c r="R17" s="21"/>
      <c r="S17" s="106">
        <f t="shared" si="2"/>
        <v>478352</v>
      </c>
    </row>
    <row r="18" spans="1:19" ht="19.5" thickBot="1">
      <c r="A18" s="107" t="s">
        <v>20</v>
      </c>
      <c r="B18" s="108">
        <f>SUM(B6:B17)</f>
        <v>3805074</v>
      </c>
      <c r="C18" s="108">
        <f t="shared" ref="C18:L18" si="3">SUM(C6:C17)</f>
        <v>4766547</v>
      </c>
      <c r="D18" s="108">
        <f t="shared" si="3"/>
        <v>96600</v>
      </c>
      <c r="E18" s="108">
        <f t="shared" si="3"/>
        <v>56700</v>
      </c>
      <c r="F18" s="108">
        <f t="shared" si="3"/>
        <v>39000</v>
      </c>
      <c r="G18" s="108">
        <f t="shared" si="3"/>
        <v>14600</v>
      </c>
      <c r="H18" s="108">
        <f t="shared" si="3"/>
        <v>6756</v>
      </c>
      <c r="I18" s="108">
        <f t="shared" si="3"/>
        <v>51800</v>
      </c>
      <c r="J18" s="108">
        <f t="shared" si="3"/>
        <v>17730</v>
      </c>
      <c r="K18" s="108">
        <f t="shared" si="3"/>
        <v>84405</v>
      </c>
      <c r="L18" s="108">
        <f t="shared" si="3"/>
        <v>839100</v>
      </c>
      <c r="M18" s="109">
        <f t="shared" si="1"/>
        <v>9778312</v>
      </c>
      <c r="N18" s="110">
        <f t="shared" ref="N18:P18" si="4">SUM(N6:N17)</f>
        <v>60000</v>
      </c>
      <c r="O18" s="110">
        <f t="shared" si="4"/>
        <v>3000</v>
      </c>
      <c r="P18" s="110">
        <f t="shared" si="4"/>
        <v>412300</v>
      </c>
      <c r="Q18" s="111">
        <f t="shared" si="0"/>
        <v>475300</v>
      </c>
      <c r="R18" s="112">
        <f>SUM(R6:R17)</f>
        <v>100000</v>
      </c>
      <c r="S18" s="113">
        <f t="shared" si="2"/>
        <v>10353612</v>
      </c>
    </row>
    <row r="20" spans="1:19">
      <c r="C20">
        <f>'Fy17-18 Exp'!B15</f>
        <v>4701110</v>
      </c>
    </row>
    <row r="21" spans="1:19">
      <c r="C21">
        <f>C18-C20</f>
        <v>65437</v>
      </c>
    </row>
    <row r="22" spans="1:19" ht="18.75">
      <c r="S22" s="114"/>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3"/>
  <sheetViews>
    <sheetView workbookViewId="0">
      <selection activeCell="K17" sqref="K17"/>
    </sheetView>
  </sheetViews>
  <sheetFormatPr defaultRowHeight="15"/>
  <cols>
    <col min="2" max="2" width="9.5703125" customWidth="1"/>
    <col min="9" max="9" width="12.7109375" bestFit="1" customWidth="1"/>
    <col min="10" max="10" width="12.7109375" customWidth="1"/>
    <col min="11" max="11" width="10.5703125" bestFit="1" customWidth="1"/>
    <col min="16" max="16" width="12.28515625" bestFit="1" customWidth="1"/>
  </cols>
  <sheetData>
    <row r="1" spans="1:20" ht="15.75" thickBot="1">
      <c r="A1" s="172" t="s">
        <v>83</v>
      </c>
      <c r="B1" s="173"/>
      <c r="C1" s="173"/>
      <c r="D1" s="173" t="s">
        <v>82</v>
      </c>
      <c r="E1" s="173"/>
      <c r="F1" s="173"/>
      <c r="G1" s="48"/>
      <c r="H1" s="174" t="s">
        <v>86</v>
      </c>
      <c r="I1" s="175"/>
      <c r="J1" s="175"/>
      <c r="K1" s="175"/>
      <c r="L1" s="176"/>
      <c r="M1" s="177" t="s">
        <v>87</v>
      </c>
      <c r="N1" s="178"/>
      <c r="O1" s="179"/>
      <c r="P1" s="34"/>
      <c r="Q1" t="s">
        <v>117</v>
      </c>
      <c r="R1" t="s">
        <v>121</v>
      </c>
      <c r="S1" t="s">
        <v>122</v>
      </c>
    </row>
    <row r="2" spans="1:20" ht="15.75" thickBot="1">
      <c r="A2" s="47"/>
      <c r="B2" s="38" t="s">
        <v>71</v>
      </c>
      <c r="C2" s="38" t="s">
        <v>72</v>
      </c>
      <c r="D2" s="38" t="s">
        <v>76</v>
      </c>
      <c r="E2" s="38" t="s">
        <v>79</v>
      </c>
      <c r="F2" s="38" t="s">
        <v>80</v>
      </c>
      <c r="G2" s="31" t="s">
        <v>20</v>
      </c>
      <c r="H2" s="49" t="s">
        <v>74</v>
      </c>
      <c r="I2" s="38" t="s">
        <v>75</v>
      </c>
      <c r="J2" s="73" t="s">
        <v>127</v>
      </c>
      <c r="K2" s="50" t="s">
        <v>73</v>
      </c>
      <c r="L2" s="25" t="s">
        <v>20</v>
      </c>
      <c r="M2" s="55" t="s">
        <v>77</v>
      </c>
      <c r="N2" s="11" t="s">
        <v>78</v>
      </c>
      <c r="O2" s="29" t="s">
        <v>20</v>
      </c>
      <c r="P2" s="52" t="s">
        <v>81</v>
      </c>
    </row>
    <row r="3" spans="1:20" ht="15.75">
      <c r="A3" s="19" t="s">
        <v>36</v>
      </c>
      <c r="B3" s="20">
        <v>204100</v>
      </c>
      <c r="C3" s="20">
        <v>131570</v>
      </c>
      <c r="D3" s="20">
        <v>1500</v>
      </c>
      <c r="E3" s="20">
        <v>2810</v>
      </c>
      <c r="F3" s="20">
        <f>452</f>
        <v>452</v>
      </c>
      <c r="G3" s="43">
        <f>SUM(B3:F3)</f>
        <v>340432</v>
      </c>
      <c r="H3" s="19"/>
      <c r="I3" s="20">
        <v>3000</v>
      </c>
      <c r="J3" s="20"/>
      <c r="K3" s="20">
        <v>4200</v>
      </c>
      <c r="L3" s="43">
        <f>SUM(H3:K3)</f>
        <v>7200</v>
      </c>
      <c r="M3" s="21">
        <v>0</v>
      </c>
      <c r="N3" s="9">
        <v>0</v>
      </c>
      <c r="O3" s="58">
        <f>SUM(M3:N3)</f>
        <v>0</v>
      </c>
      <c r="P3" s="53">
        <f>G3+L3+O3</f>
        <v>347632</v>
      </c>
      <c r="Q3" s="14">
        <v>3500</v>
      </c>
    </row>
    <row r="4" spans="1:20" ht="15.75">
      <c r="A4" s="21" t="s">
        <v>37</v>
      </c>
      <c r="B4" s="3">
        <v>944300</v>
      </c>
      <c r="C4" s="3">
        <v>190602</v>
      </c>
      <c r="D4" s="3">
        <v>500</v>
      </c>
      <c r="E4" s="3">
        <v>1900</v>
      </c>
      <c r="F4" s="3">
        <v>1517</v>
      </c>
      <c r="G4" s="41">
        <f t="shared" ref="G4:G15" si="0">SUM(B4:F4)</f>
        <v>1138819</v>
      </c>
      <c r="H4" s="21"/>
      <c r="I4" s="3">
        <v>1000</v>
      </c>
      <c r="J4" s="3"/>
      <c r="K4" s="3">
        <v>186667</v>
      </c>
      <c r="L4" s="40">
        <f t="shared" ref="L4:L15" si="1">SUM(H4:K4)</f>
        <v>187667</v>
      </c>
      <c r="M4" s="21"/>
      <c r="N4" s="9">
        <v>2000</v>
      </c>
      <c r="O4" s="30">
        <f>SUM(M4:N4)</f>
        <v>2000</v>
      </c>
      <c r="P4" s="53">
        <f t="shared" ref="P4:P15" si="2">G4+L4+O4</f>
        <v>1328486</v>
      </c>
      <c r="Q4">
        <v>3150</v>
      </c>
      <c r="S4">
        <v>9</v>
      </c>
    </row>
    <row r="5" spans="1:20" ht="15.75">
      <c r="A5" s="21" t="s">
        <v>56</v>
      </c>
      <c r="B5" s="3">
        <v>464050</v>
      </c>
      <c r="C5" s="3">
        <v>479078</v>
      </c>
      <c r="D5" s="3">
        <v>0</v>
      </c>
      <c r="E5" s="3">
        <v>1000</v>
      </c>
      <c r="F5" s="3">
        <f>750+904</f>
        <v>1654</v>
      </c>
      <c r="G5" s="41">
        <f t="shared" si="0"/>
        <v>945782</v>
      </c>
      <c r="H5" s="21"/>
      <c r="I5" s="3">
        <v>0</v>
      </c>
      <c r="J5" s="3"/>
      <c r="K5" s="3">
        <v>140000</v>
      </c>
      <c r="L5" s="40">
        <f t="shared" si="1"/>
        <v>140000</v>
      </c>
      <c r="M5" s="21"/>
      <c r="N5" s="9">
        <v>1000</v>
      </c>
      <c r="O5" s="30"/>
      <c r="P5" s="53">
        <f t="shared" si="2"/>
        <v>1085782</v>
      </c>
      <c r="Q5">
        <v>4130</v>
      </c>
      <c r="R5">
        <v>13950</v>
      </c>
    </row>
    <row r="6" spans="1:20" ht="15.75">
      <c r="A6" s="21" t="s">
        <v>39</v>
      </c>
      <c r="B6" s="3">
        <v>88550</v>
      </c>
      <c r="C6" s="3">
        <v>447138</v>
      </c>
      <c r="D6" s="3">
        <v>0</v>
      </c>
      <c r="E6" s="3">
        <v>1650</v>
      </c>
      <c r="F6" s="3">
        <v>0</v>
      </c>
      <c r="G6" s="41">
        <f t="shared" si="0"/>
        <v>537338</v>
      </c>
      <c r="H6" s="21"/>
      <c r="I6" s="3">
        <v>0</v>
      </c>
      <c r="J6" s="3"/>
      <c r="K6" s="3">
        <v>105000</v>
      </c>
      <c r="L6" s="40">
        <f t="shared" si="1"/>
        <v>105000</v>
      </c>
      <c r="M6" s="21"/>
      <c r="N6" s="9">
        <v>1000</v>
      </c>
      <c r="O6" s="30">
        <f t="shared" ref="O6:O14" si="3">SUM(M6:N6)</f>
        <v>1000</v>
      </c>
      <c r="P6" s="53">
        <f t="shared" si="2"/>
        <v>643338</v>
      </c>
      <c r="Q6">
        <v>4025</v>
      </c>
      <c r="R6">
        <v>33991</v>
      </c>
      <c r="S6">
        <v>144</v>
      </c>
    </row>
    <row r="7" spans="1:20" ht="15.75">
      <c r="A7" s="21" t="s">
        <v>40</v>
      </c>
      <c r="B7" s="3">
        <v>184900</v>
      </c>
      <c r="C7" s="3">
        <v>453007</v>
      </c>
      <c r="D7" s="3">
        <v>1500</v>
      </c>
      <c r="E7" s="3">
        <v>4950</v>
      </c>
      <c r="F7" s="3">
        <v>791</v>
      </c>
      <c r="G7" s="41">
        <f t="shared" si="0"/>
        <v>645148</v>
      </c>
      <c r="H7" s="21"/>
      <c r="I7" s="3">
        <v>3000</v>
      </c>
      <c r="J7" s="3"/>
      <c r="K7" s="3">
        <v>10500</v>
      </c>
      <c r="L7" s="40">
        <f t="shared" si="1"/>
        <v>13500</v>
      </c>
      <c r="M7" s="21"/>
      <c r="N7" s="9">
        <v>1000</v>
      </c>
      <c r="O7" s="30"/>
      <c r="P7" s="53">
        <f t="shared" si="2"/>
        <v>658648</v>
      </c>
      <c r="Q7">
        <v>4270</v>
      </c>
      <c r="R7">
        <v>65136</v>
      </c>
      <c r="S7">
        <v>15000</v>
      </c>
      <c r="T7" t="s">
        <v>123</v>
      </c>
    </row>
    <row r="8" spans="1:20" ht="15.75">
      <c r="A8" s="21" t="s">
        <v>42</v>
      </c>
      <c r="B8" s="3">
        <v>55500</v>
      </c>
      <c r="C8" s="3">
        <v>332264</v>
      </c>
      <c r="D8" s="3">
        <v>500</v>
      </c>
      <c r="E8" s="3"/>
      <c r="F8" s="3">
        <v>1850</v>
      </c>
      <c r="G8" s="41">
        <f t="shared" si="0"/>
        <v>390114</v>
      </c>
      <c r="H8" s="21"/>
      <c r="I8" s="3">
        <v>0</v>
      </c>
      <c r="J8" s="3"/>
      <c r="K8" s="3">
        <v>0</v>
      </c>
      <c r="L8" s="40">
        <f t="shared" si="1"/>
        <v>0</v>
      </c>
      <c r="M8" s="21"/>
      <c r="N8" s="9">
        <v>0</v>
      </c>
      <c r="O8" s="30"/>
      <c r="P8" s="53">
        <f t="shared" si="2"/>
        <v>390114</v>
      </c>
      <c r="Q8">
        <v>4305</v>
      </c>
      <c r="R8">
        <v>57144</v>
      </c>
      <c r="S8">
        <v>3000</v>
      </c>
      <c r="T8" t="s">
        <v>124</v>
      </c>
    </row>
    <row r="9" spans="1:20" ht="15.75">
      <c r="A9" s="21" t="s">
        <v>43</v>
      </c>
      <c r="B9" s="3">
        <v>53600</v>
      </c>
      <c r="C9" s="3">
        <v>321922</v>
      </c>
      <c r="D9" s="3">
        <v>0</v>
      </c>
      <c r="E9" s="3">
        <v>1850</v>
      </c>
      <c r="F9" s="3">
        <v>1404</v>
      </c>
      <c r="G9" s="41">
        <f t="shared" si="0"/>
        <v>378776</v>
      </c>
      <c r="H9" s="21"/>
      <c r="I9" s="3">
        <v>0</v>
      </c>
      <c r="J9" s="3"/>
      <c r="K9" s="3">
        <v>3500</v>
      </c>
      <c r="L9" s="40">
        <f t="shared" si="1"/>
        <v>3500</v>
      </c>
      <c r="M9" s="21"/>
      <c r="N9" s="9">
        <v>0</v>
      </c>
      <c r="O9" s="30"/>
      <c r="P9" s="53">
        <f t="shared" si="2"/>
        <v>382276</v>
      </c>
      <c r="Q9">
        <v>3675</v>
      </c>
      <c r="R9">
        <v>13976</v>
      </c>
      <c r="S9">
        <v>290</v>
      </c>
    </row>
    <row r="10" spans="1:20" ht="15.75">
      <c r="A10" s="21" t="s">
        <v>44</v>
      </c>
      <c r="B10" s="3">
        <v>60900</v>
      </c>
      <c r="C10" s="3">
        <v>251012</v>
      </c>
      <c r="D10" s="3">
        <v>0</v>
      </c>
      <c r="E10" s="3">
        <v>2300</v>
      </c>
      <c r="F10" s="3">
        <v>0</v>
      </c>
      <c r="G10" s="41">
        <f t="shared" si="0"/>
        <v>314212</v>
      </c>
      <c r="H10" s="21">
        <v>7000</v>
      </c>
      <c r="I10" s="3">
        <v>0</v>
      </c>
      <c r="J10" s="3">
        <v>3000</v>
      </c>
      <c r="K10" s="3"/>
      <c r="L10" s="40">
        <f t="shared" si="1"/>
        <v>10000</v>
      </c>
      <c r="M10" s="21"/>
      <c r="N10" s="9">
        <v>1000</v>
      </c>
      <c r="O10" s="30">
        <f t="shared" si="3"/>
        <v>1000</v>
      </c>
      <c r="P10" s="53">
        <f t="shared" si="2"/>
        <v>325212</v>
      </c>
      <c r="Q10">
        <v>3885</v>
      </c>
      <c r="R10">
        <v>7768</v>
      </c>
    </row>
    <row r="11" spans="1:20" ht="15.75">
      <c r="A11" s="21" t="s">
        <v>45</v>
      </c>
      <c r="B11" s="3">
        <v>29000</v>
      </c>
      <c r="C11" s="3">
        <v>207256</v>
      </c>
      <c r="D11" s="3">
        <v>500</v>
      </c>
      <c r="E11" s="3">
        <v>1350</v>
      </c>
      <c r="F11" s="3">
        <v>0</v>
      </c>
      <c r="G11" s="41">
        <f t="shared" si="0"/>
        <v>238106</v>
      </c>
      <c r="H11" s="21">
        <v>0</v>
      </c>
      <c r="I11" s="3">
        <v>4000</v>
      </c>
      <c r="J11" s="3">
        <v>1000</v>
      </c>
      <c r="K11" s="3"/>
      <c r="L11" s="40">
        <f t="shared" si="1"/>
        <v>5000</v>
      </c>
      <c r="M11" s="21"/>
      <c r="N11" s="9"/>
      <c r="O11" s="30"/>
      <c r="P11" s="53">
        <f t="shared" si="2"/>
        <v>243106</v>
      </c>
      <c r="Q11">
        <v>3745</v>
      </c>
      <c r="R11">
        <v>832</v>
      </c>
    </row>
    <row r="12" spans="1:20" ht="15.75">
      <c r="A12" s="21" t="s">
        <v>47</v>
      </c>
      <c r="B12" s="3">
        <v>20300</v>
      </c>
      <c r="C12" s="3">
        <v>192841</v>
      </c>
      <c r="D12" s="3">
        <v>0</v>
      </c>
      <c r="E12" s="3">
        <v>950</v>
      </c>
      <c r="F12" s="3">
        <v>500</v>
      </c>
      <c r="G12" s="41">
        <f t="shared" si="0"/>
        <v>214591</v>
      </c>
      <c r="H12" s="21">
        <v>0</v>
      </c>
      <c r="I12" s="3">
        <v>0</v>
      </c>
      <c r="J12" s="3">
        <v>0</v>
      </c>
      <c r="K12" s="3"/>
      <c r="L12" s="40">
        <f t="shared" si="1"/>
        <v>0</v>
      </c>
      <c r="M12" s="21"/>
      <c r="N12" s="9">
        <v>1000</v>
      </c>
      <c r="O12" s="30">
        <f t="shared" si="3"/>
        <v>1000</v>
      </c>
      <c r="P12" s="53">
        <f t="shared" si="2"/>
        <v>215591</v>
      </c>
      <c r="Q12">
        <v>0</v>
      </c>
      <c r="R12">
        <v>258</v>
      </c>
    </row>
    <row r="13" spans="1:20" ht="15.75">
      <c r="A13" s="21" t="s">
        <v>50</v>
      </c>
      <c r="B13" s="3">
        <v>24650</v>
      </c>
      <c r="C13" s="3">
        <v>235469</v>
      </c>
      <c r="D13" s="3">
        <v>0</v>
      </c>
      <c r="E13" s="3">
        <v>700</v>
      </c>
      <c r="F13" s="3">
        <v>0</v>
      </c>
      <c r="G13" s="41">
        <f t="shared" si="0"/>
        <v>260819</v>
      </c>
      <c r="H13" s="21"/>
      <c r="I13" s="3"/>
      <c r="J13" s="3"/>
      <c r="K13" s="3"/>
      <c r="L13" s="40">
        <f t="shared" si="1"/>
        <v>0</v>
      </c>
      <c r="M13" s="21"/>
      <c r="N13" s="9">
        <v>3000</v>
      </c>
      <c r="O13" s="30">
        <f t="shared" si="3"/>
        <v>3000</v>
      </c>
      <c r="P13" s="53">
        <f t="shared" si="2"/>
        <v>263819</v>
      </c>
      <c r="Q13">
        <v>3605</v>
      </c>
      <c r="R13">
        <v>0</v>
      </c>
    </row>
    <row r="14" spans="1:20" ht="16.5" thickBot="1">
      <c r="A14" s="22" t="s">
        <v>51</v>
      </c>
      <c r="B14" s="23">
        <v>29000</v>
      </c>
      <c r="C14" s="23">
        <v>195393</v>
      </c>
      <c r="D14" s="23">
        <v>1500</v>
      </c>
      <c r="E14" s="23">
        <v>300</v>
      </c>
      <c r="F14" s="23">
        <v>0</v>
      </c>
      <c r="G14" s="44">
        <f t="shared" si="0"/>
        <v>226193</v>
      </c>
      <c r="H14" s="21">
        <v>0</v>
      </c>
      <c r="I14" s="3">
        <v>12000</v>
      </c>
      <c r="J14" s="3">
        <v>3000</v>
      </c>
      <c r="K14" s="3"/>
      <c r="L14" s="25">
        <f t="shared" si="1"/>
        <v>15000</v>
      </c>
      <c r="M14" s="21"/>
      <c r="N14" s="9">
        <v>0</v>
      </c>
      <c r="O14" s="30">
        <f t="shared" si="3"/>
        <v>0</v>
      </c>
      <c r="P14" s="53">
        <f t="shared" si="2"/>
        <v>241193</v>
      </c>
      <c r="Q14">
        <v>3640</v>
      </c>
      <c r="R14">
        <v>0</v>
      </c>
    </row>
    <row r="15" spans="1:20" ht="16.5" thickBot="1">
      <c r="A15" s="42" t="s">
        <v>20</v>
      </c>
      <c r="B15" s="32">
        <f>SUM(B3:B14)</f>
        <v>2158850</v>
      </c>
      <c r="C15" s="32">
        <f>SUM(C3:C14)</f>
        <v>3437552</v>
      </c>
      <c r="D15" s="32">
        <f>SUM(D3:D14)</f>
        <v>6000</v>
      </c>
      <c r="E15" s="32">
        <f>SUM(E3:E14)</f>
        <v>19760</v>
      </c>
      <c r="F15" s="32">
        <f>SUM(F3:F14)</f>
        <v>8168</v>
      </c>
      <c r="G15" s="45">
        <f t="shared" si="0"/>
        <v>5630330</v>
      </c>
      <c r="H15" s="46">
        <f>SUM(H3:H14)</f>
        <v>7000</v>
      </c>
      <c r="I15" s="32">
        <f>SUM(I3:I14)</f>
        <v>23000</v>
      </c>
      <c r="J15" s="33"/>
      <c r="K15" s="33">
        <f>SUM(K3:K14)</f>
        <v>449867</v>
      </c>
      <c r="L15" s="51">
        <f t="shared" si="1"/>
        <v>479867</v>
      </c>
      <c r="M15" s="56">
        <f>SUM(M3:M14)</f>
        <v>0</v>
      </c>
      <c r="N15" s="57">
        <f>SUM(N3:N14)</f>
        <v>10000</v>
      </c>
      <c r="O15" s="39">
        <f>SUM(M15:N15)</f>
        <v>10000</v>
      </c>
      <c r="P15" s="53">
        <f t="shared" si="2"/>
        <v>6120197</v>
      </c>
    </row>
    <row r="17" spans="1:11" ht="15.75" thickBot="1">
      <c r="C17" s="14">
        <f>C15-'FY12-13-Exp'!B14</f>
        <v>64170</v>
      </c>
      <c r="E17">
        <f>C17/12</f>
        <v>5347.5</v>
      </c>
    </row>
    <row r="18" spans="1:11" ht="15.75" thickBot="1">
      <c r="A18" s="35" t="s">
        <v>84</v>
      </c>
      <c r="B18" s="34">
        <f>G15</f>
        <v>5630330</v>
      </c>
    </row>
    <row r="19" spans="1:11" ht="15.75" thickBot="1">
      <c r="A19" s="35" t="s">
        <v>85</v>
      </c>
      <c r="B19" s="36">
        <f>'FY13-14-Exp'!AD15</f>
        <v>5966321</v>
      </c>
    </row>
    <row r="21" spans="1:11" ht="15.75" thickBot="1">
      <c r="K21" s="82">
        <v>64767</v>
      </c>
    </row>
    <row r="22" spans="1:11" ht="15.75" thickBot="1">
      <c r="B22" s="37">
        <f>B18-B19</f>
        <v>-335991</v>
      </c>
      <c r="H22">
        <f>'FY13-14-Exp'!B15-C15</f>
        <v>934570</v>
      </c>
    </row>
    <row r="23" spans="1:11">
      <c r="H23">
        <f>H22/12</f>
        <v>77880.833333333328</v>
      </c>
    </row>
  </sheetData>
  <mergeCells count="4">
    <mergeCell ref="A1:C1"/>
    <mergeCell ref="D1:F1"/>
    <mergeCell ref="H1:L1"/>
    <mergeCell ref="M1:O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52"/>
  <sheetViews>
    <sheetView workbookViewId="0">
      <pane ySplit="1" topLeftCell="A2" activePane="bottomLeft" state="frozen"/>
      <selection pane="bottomLeft" activeCell="B14" sqref="B14"/>
    </sheetView>
  </sheetViews>
  <sheetFormatPr defaultRowHeight="15"/>
  <cols>
    <col min="1" max="1" width="11.85546875" customWidth="1"/>
    <col min="2" max="2" width="11.7109375" bestFit="1" customWidth="1"/>
    <col min="3" max="4" width="10.140625" bestFit="1" customWidth="1"/>
    <col min="6" max="6" width="7.7109375" customWidth="1"/>
    <col min="8" max="8" width="12.42578125" customWidth="1"/>
    <col min="10" max="10" width="10.28515625" customWidth="1"/>
    <col min="15" max="15" width="11.42578125" customWidth="1"/>
    <col min="16" max="16" width="9.7109375" bestFit="1" customWidth="1"/>
    <col min="17" max="17" width="11.85546875" bestFit="1" customWidth="1"/>
    <col min="18" max="18" width="10.28515625" bestFit="1" customWidth="1"/>
    <col min="21" max="21" width="12" bestFit="1" customWidth="1"/>
    <col min="22" max="22" width="7" customWidth="1"/>
    <col min="28" max="28" width="7.5703125" customWidth="1"/>
    <col min="29" max="29" width="12.28515625" bestFit="1" customWidth="1"/>
  </cols>
  <sheetData>
    <row r="1" spans="1:33" ht="16.5" thickBot="1">
      <c r="A1" s="16" t="s">
        <v>22</v>
      </c>
      <c r="B1" s="59" t="s">
        <v>23</v>
      </c>
      <c r="C1" s="17" t="s">
        <v>4</v>
      </c>
      <c r="D1" s="59" t="s">
        <v>5</v>
      </c>
      <c r="E1" s="59" t="s">
        <v>58</v>
      </c>
      <c r="F1" s="17" t="s">
        <v>24</v>
      </c>
      <c r="G1" s="59" t="s">
        <v>57</v>
      </c>
      <c r="H1" s="59" t="s">
        <v>26</v>
      </c>
      <c r="I1" s="18" t="s">
        <v>8</v>
      </c>
      <c r="J1" s="17" t="s">
        <v>59</v>
      </c>
      <c r="K1" s="17" t="s">
        <v>95</v>
      </c>
      <c r="L1" s="17" t="s">
        <v>29</v>
      </c>
      <c r="M1" s="59" t="s">
        <v>32</v>
      </c>
      <c r="N1" s="17" t="s">
        <v>61</v>
      </c>
      <c r="O1" s="17" t="s">
        <v>28</v>
      </c>
      <c r="P1" s="17" t="s">
        <v>27</v>
      </c>
      <c r="Q1" s="17" t="s">
        <v>70</v>
      </c>
      <c r="R1" s="17" t="s">
        <v>11</v>
      </c>
      <c r="S1" s="18" t="s">
        <v>65</v>
      </c>
      <c r="T1" s="17" t="s">
        <v>30</v>
      </c>
      <c r="U1" s="17" t="s">
        <v>31</v>
      </c>
      <c r="V1" s="17" t="s">
        <v>33</v>
      </c>
      <c r="W1" s="59" t="s">
        <v>34</v>
      </c>
      <c r="X1" s="17" t="s">
        <v>35</v>
      </c>
      <c r="Y1" s="18" t="s">
        <v>64</v>
      </c>
      <c r="Z1" s="18" t="s">
        <v>66</v>
      </c>
      <c r="AA1" s="18" t="s">
        <v>68</v>
      </c>
      <c r="AB1" s="17" t="s">
        <v>63</v>
      </c>
      <c r="AC1" s="26" t="s">
        <v>20</v>
      </c>
      <c r="AD1" s="18" t="s">
        <v>62</v>
      </c>
    </row>
    <row r="2" spans="1:33" ht="16.5" thickBot="1">
      <c r="A2" s="19" t="s">
        <v>36</v>
      </c>
      <c r="B2" s="20">
        <v>44810</v>
      </c>
      <c r="C2" s="20">
        <v>25200</v>
      </c>
      <c r="D2" s="20">
        <v>22469</v>
      </c>
      <c r="E2" s="20">
        <v>9270</v>
      </c>
      <c r="F2" s="20"/>
      <c r="G2" s="20">
        <v>6000</v>
      </c>
      <c r="H2" s="20">
        <v>4000</v>
      </c>
      <c r="I2" s="20"/>
      <c r="J2" s="20">
        <v>3360</v>
      </c>
      <c r="K2" s="20">
        <v>11000</v>
      </c>
      <c r="L2" s="20">
        <v>249</v>
      </c>
      <c r="M2" s="20">
        <v>1180</v>
      </c>
      <c r="N2" s="20">
        <v>576</v>
      </c>
      <c r="O2" s="20">
        <v>2339</v>
      </c>
      <c r="P2" s="20">
        <v>1300</v>
      </c>
      <c r="Q2" s="20">
        <v>0</v>
      </c>
      <c r="R2" s="20">
        <v>640</v>
      </c>
      <c r="S2" s="20"/>
      <c r="T2" s="20"/>
      <c r="U2" s="20"/>
      <c r="V2" s="20"/>
      <c r="W2" s="20"/>
      <c r="X2" s="20"/>
      <c r="Y2" s="20"/>
      <c r="Z2" s="20"/>
      <c r="AA2" s="20"/>
      <c r="AB2" s="20"/>
      <c r="AC2" s="27">
        <f>SUM(B2:AB2)</f>
        <v>132393</v>
      </c>
      <c r="AD2" s="20"/>
    </row>
    <row r="3" spans="1:33" ht="16.5" thickBot="1">
      <c r="A3" s="21" t="s">
        <v>37</v>
      </c>
      <c r="B3" s="3">
        <v>184370</v>
      </c>
      <c r="C3" s="3">
        <v>25200</v>
      </c>
      <c r="D3" s="3">
        <v>22890</v>
      </c>
      <c r="E3" s="3"/>
      <c r="F3" s="3"/>
      <c r="G3" s="3">
        <v>15460</v>
      </c>
      <c r="H3" s="3">
        <v>1880</v>
      </c>
      <c r="I3" s="3"/>
      <c r="J3" s="3">
        <v>3360</v>
      </c>
      <c r="K3" s="3"/>
      <c r="L3" s="3">
        <v>200</v>
      </c>
      <c r="M3" s="3">
        <v>1400</v>
      </c>
      <c r="N3" s="3">
        <v>993</v>
      </c>
      <c r="O3" s="3">
        <v>852</v>
      </c>
      <c r="P3" s="3">
        <v>450</v>
      </c>
      <c r="Q3" s="3">
        <v>2832</v>
      </c>
      <c r="R3" s="3">
        <v>0</v>
      </c>
      <c r="S3" s="3"/>
      <c r="T3" s="3"/>
      <c r="U3" s="3"/>
      <c r="V3" s="3"/>
      <c r="W3" s="3"/>
      <c r="X3" s="3"/>
      <c r="Y3" s="3"/>
      <c r="Z3" s="3"/>
      <c r="AA3" s="3"/>
      <c r="AB3" s="3"/>
      <c r="AC3" s="27">
        <f t="shared" ref="AC3:AC13" si="0">SUM(B3:AB3)</f>
        <v>259887</v>
      </c>
      <c r="AD3" s="3"/>
    </row>
    <row r="4" spans="1:33" ht="16.5" thickBot="1">
      <c r="A4" s="21" t="s">
        <v>56</v>
      </c>
      <c r="B4" s="3">
        <v>306020</v>
      </c>
      <c r="C4" s="3">
        <v>25200</v>
      </c>
      <c r="D4" s="3">
        <v>22890</v>
      </c>
      <c r="E4" s="3"/>
      <c r="F4" s="3">
        <v>35000</v>
      </c>
      <c r="G4" s="3">
        <v>23040</v>
      </c>
      <c r="H4" s="3">
        <v>21700</v>
      </c>
      <c r="I4" s="3"/>
      <c r="J4" s="3">
        <v>3000</v>
      </c>
      <c r="K4" s="3"/>
      <c r="L4" s="3">
        <v>0</v>
      </c>
      <c r="M4" s="3">
        <v>2675</v>
      </c>
      <c r="N4" s="3">
        <v>633</v>
      </c>
      <c r="O4" s="3">
        <v>151</v>
      </c>
      <c r="P4" s="3">
        <v>0</v>
      </c>
      <c r="Q4" s="3">
        <v>1974</v>
      </c>
      <c r="R4" s="3">
        <v>0</v>
      </c>
      <c r="S4" s="3"/>
      <c r="T4" s="3"/>
      <c r="U4" s="3"/>
      <c r="V4" s="3"/>
      <c r="W4" s="3"/>
      <c r="X4" s="3"/>
      <c r="Y4" s="3"/>
      <c r="Z4" s="3"/>
      <c r="AA4" s="3"/>
      <c r="AB4" s="3"/>
      <c r="AC4" s="27">
        <f t="shared" si="0"/>
        <v>442283</v>
      </c>
      <c r="AD4" s="3"/>
    </row>
    <row r="5" spans="1:33" ht="16.5" thickBot="1">
      <c r="A5" s="21" t="s">
        <v>39</v>
      </c>
      <c r="B5" s="3">
        <v>370120</v>
      </c>
      <c r="C5" s="3">
        <v>25200</v>
      </c>
      <c r="D5" s="3">
        <v>24651</v>
      </c>
      <c r="E5" s="3">
        <v>100000</v>
      </c>
      <c r="F5" s="3"/>
      <c r="G5" s="3">
        <v>30000</v>
      </c>
      <c r="H5" s="3">
        <v>2597</v>
      </c>
      <c r="I5" s="3"/>
      <c r="J5" s="3">
        <v>3000</v>
      </c>
      <c r="K5" s="3">
        <v>11000</v>
      </c>
      <c r="L5" s="3">
        <v>0</v>
      </c>
      <c r="M5" s="3">
        <v>399</v>
      </c>
      <c r="N5" s="3">
        <v>618</v>
      </c>
      <c r="O5" s="3">
        <v>519</v>
      </c>
      <c r="P5" s="3">
        <v>630</v>
      </c>
      <c r="Q5" s="3">
        <v>5507</v>
      </c>
      <c r="R5" s="3">
        <v>0</v>
      </c>
      <c r="S5" s="3"/>
      <c r="T5" s="3"/>
      <c r="U5" s="3"/>
      <c r="V5" s="3"/>
      <c r="W5" s="3"/>
      <c r="X5" s="3">
        <v>6000</v>
      </c>
      <c r="Y5" s="3"/>
      <c r="Z5" s="3"/>
      <c r="AA5" s="3"/>
      <c r="AB5" s="3">
        <v>3000</v>
      </c>
      <c r="AC5" s="27">
        <f t="shared" si="0"/>
        <v>583241</v>
      </c>
      <c r="AD5" s="3">
        <v>116042</v>
      </c>
    </row>
    <row r="6" spans="1:33" ht="16.5" thickBot="1">
      <c r="A6" s="21" t="s">
        <v>40</v>
      </c>
      <c r="B6" s="3">
        <v>462000</v>
      </c>
      <c r="C6" s="3">
        <v>25200</v>
      </c>
      <c r="D6" s="3">
        <v>24651</v>
      </c>
      <c r="E6" s="3">
        <v>141775</v>
      </c>
      <c r="F6" s="3"/>
      <c r="G6" s="3">
        <v>15000</v>
      </c>
      <c r="H6" s="3">
        <v>2813</v>
      </c>
      <c r="I6" s="3"/>
      <c r="J6" s="3">
        <v>3000</v>
      </c>
      <c r="K6" s="3"/>
      <c r="L6" s="3">
        <v>40</v>
      </c>
      <c r="M6" s="3">
        <v>2190</v>
      </c>
      <c r="N6" s="3">
        <v>0</v>
      </c>
      <c r="O6" s="3">
        <v>701</v>
      </c>
      <c r="P6" s="3">
        <v>260</v>
      </c>
      <c r="Q6" s="3">
        <v>1682</v>
      </c>
      <c r="R6" s="3">
        <v>400</v>
      </c>
      <c r="S6" s="3"/>
      <c r="T6" s="3"/>
      <c r="U6" s="3"/>
      <c r="V6" s="3"/>
      <c r="W6" s="3"/>
      <c r="X6" s="3"/>
      <c r="Y6" s="3"/>
      <c r="Z6" s="3"/>
      <c r="AA6" s="3"/>
      <c r="AB6" s="3">
        <v>3000</v>
      </c>
      <c r="AC6" s="27">
        <f t="shared" si="0"/>
        <v>682712</v>
      </c>
      <c r="AD6" s="3"/>
    </row>
    <row r="7" spans="1:33" ht="16.5" thickBot="1">
      <c r="A7" s="21" t="s">
        <v>42</v>
      </c>
      <c r="B7" s="3">
        <v>338640</v>
      </c>
      <c r="C7" s="3">
        <v>25200</v>
      </c>
      <c r="D7" s="3">
        <v>24651</v>
      </c>
      <c r="E7" s="3"/>
      <c r="F7" s="3"/>
      <c r="G7" s="3">
        <v>12020</v>
      </c>
      <c r="H7" s="3">
        <v>15251</v>
      </c>
      <c r="I7" s="3"/>
      <c r="J7" s="3">
        <v>3800</v>
      </c>
      <c r="K7" s="3"/>
      <c r="L7" s="3">
        <v>510</v>
      </c>
      <c r="M7" s="3"/>
      <c r="N7" s="3">
        <v>638</v>
      </c>
      <c r="O7" s="3">
        <v>215</v>
      </c>
      <c r="P7" s="3">
        <v>270</v>
      </c>
      <c r="Q7" s="3">
        <v>439</v>
      </c>
      <c r="R7" s="3">
        <v>1800</v>
      </c>
      <c r="S7" s="3">
        <v>9500</v>
      </c>
      <c r="T7" s="3"/>
      <c r="U7" s="3"/>
      <c r="V7" s="3"/>
      <c r="W7" s="3"/>
      <c r="X7" s="3"/>
      <c r="Y7" s="3">
        <v>5384</v>
      </c>
      <c r="Z7" s="3">
        <v>5584</v>
      </c>
      <c r="AA7" s="3"/>
      <c r="AB7" s="3">
        <v>1000</v>
      </c>
      <c r="AC7" s="27">
        <f t="shared" si="0"/>
        <v>444902</v>
      </c>
      <c r="AD7" s="3"/>
      <c r="AE7" t="s">
        <v>67</v>
      </c>
    </row>
    <row r="8" spans="1:33" ht="16.5" thickBot="1">
      <c r="A8" s="21" t="s">
        <v>43</v>
      </c>
      <c r="B8" s="3">
        <v>321200</v>
      </c>
      <c r="C8" s="3">
        <v>25200</v>
      </c>
      <c r="D8" s="3">
        <v>24651</v>
      </c>
      <c r="E8" s="3"/>
      <c r="F8" s="3"/>
      <c r="G8" s="3">
        <v>7000</v>
      </c>
      <c r="H8" s="3">
        <v>19006</v>
      </c>
      <c r="I8" s="3"/>
      <c r="J8" s="3">
        <v>3000</v>
      </c>
      <c r="K8" s="3"/>
      <c r="L8" s="3">
        <f>372</f>
        <v>372</v>
      </c>
      <c r="M8" s="3">
        <v>260</v>
      </c>
      <c r="N8" s="3">
        <v>658</v>
      </c>
      <c r="O8" s="3">
        <v>195</v>
      </c>
      <c r="P8" s="3">
        <v>450</v>
      </c>
      <c r="Q8" s="3">
        <v>6174</v>
      </c>
      <c r="R8" s="3">
        <v>0</v>
      </c>
      <c r="S8" s="3"/>
      <c r="T8" s="3"/>
      <c r="U8" s="3"/>
      <c r="V8" s="3"/>
      <c r="W8" s="3"/>
      <c r="X8" s="3"/>
      <c r="Y8" s="3"/>
      <c r="Z8" s="3"/>
      <c r="AA8" s="3"/>
      <c r="AB8" s="3">
        <v>2500</v>
      </c>
      <c r="AC8" s="27">
        <f t="shared" si="0"/>
        <v>410666</v>
      </c>
      <c r="AD8" s="3"/>
    </row>
    <row r="9" spans="1:33" ht="16.5" thickBot="1">
      <c r="A9" s="21" t="s">
        <v>44</v>
      </c>
      <c r="B9" s="3">
        <v>236700</v>
      </c>
      <c r="C9" s="3">
        <v>25200</v>
      </c>
      <c r="D9" s="3">
        <v>24651</v>
      </c>
      <c r="E9" s="3"/>
      <c r="F9" s="3"/>
      <c r="G9" s="3">
        <v>1000</v>
      </c>
      <c r="H9" s="3">
        <v>5132</v>
      </c>
      <c r="I9" s="3"/>
      <c r="J9" s="3">
        <v>3930</v>
      </c>
      <c r="K9" s="3"/>
      <c r="L9" s="3">
        <v>430</v>
      </c>
      <c r="M9" s="3">
        <v>7240</v>
      </c>
      <c r="N9" s="3">
        <v>1958</v>
      </c>
      <c r="O9" s="3">
        <v>1897</v>
      </c>
      <c r="P9" s="3">
        <v>350</v>
      </c>
      <c r="Q9" s="3">
        <v>720</v>
      </c>
      <c r="R9" s="3">
        <v>0</v>
      </c>
      <c r="S9" s="3"/>
      <c r="T9" s="3"/>
      <c r="U9" s="3"/>
      <c r="V9" s="3"/>
      <c r="W9" s="3"/>
      <c r="X9" s="3"/>
      <c r="Y9" s="3"/>
      <c r="Z9" s="3"/>
      <c r="AA9" s="3">
        <v>5000</v>
      </c>
      <c r="AB9" s="3">
        <v>1000</v>
      </c>
      <c r="AC9" s="27">
        <f t="shared" si="0"/>
        <v>315208</v>
      </c>
      <c r="AD9" s="3"/>
    </row>
    <row r="10" spans="1:33" ht="16.5" thickBot="1">
      <c r="A10" s="21" t="s">
        <v>45</v>
      </c>
      <c r="B10" s="3">
        <v>201610</v>
      </c>
      <c r="C10" s="3">
        <v>25200</v>
      </c>
      <c r="D10" s="3">
        <v>24651</v>
      </c>
      <c r="E10" s="3"/>
      <c r="F10" s="3">
        <v>120011</v>
      </c>
      <c r="G10" s="3">
        <v>5000</v>
      </c>
      <c r="H10" s="3">
        <f>24335-7334-10300</f>
        <v>6701</v>
      </c>
      <c r="I10" s="3"/>
      <c r="J10" s="3">
        <v>3500</v>
      </c>
      <c r="K10" s="3"/>
      <c r="L10" s="3">
        <v>18456</v>
      </c>
      <c r="M10" s="3">
        <v>530</v>
      </c>
      <c r="N10" s="3">
        <v>1947</v>
      </c>
      <c r="O10" s="3">
        <v>1250</v>
      </c>
      <c r="P10" s="3">
        <v>410</v>
      </c>
      <c r="Q10" s="3">
        <v>500</v>
      </c>
      <c r="R10" s="3">
        <v>0</v>
      </c>
      <c r="S10" s="3"/>
      <c r="T10" s="3"/>
      <c r="U10" s="3"/>
      <c r="V10" s="3"/>
      <c r="W10" s="3">
        <v>9180</v>
      </c>
      <c r="X10" s="3"/>
      <c r="Y10" s="3"/>
      <c r="Z10" s="3"/>
      <c r="AA10" s="3"/>
      <c r="AB10" s="3">
        <v>5000</v>
      </c>
      <c r="AC10" s="27">
        <f t="shared" si="0"/>
        <v>423946</v>
      </c>
      <c r="AD10" s="3"/>
    </row>
    <row r="11" spans="1:33" ht="16.5" thickBot="1">
      <c r="A11" s="21" t="s">
        <v>47</v>
      </c>
      <c r="B11" s="3">
        <v>243810</v>
      </c>
      <c r="C11" s="3">
        <v>25200</v>
      </c>
      <c r="D11" s="3">
        <v>24651</v>
      </c>
      <c r="E11" s="3">
        <v>10300</v>
      </c>
      <c r="F11" s="3"/>
      <c r="G11" s="3">
        <f>12000+7334</f>
        <v>19334</v>
      </c>
      <c r="H11" s="3">
        <v>5400</v>
      </c>
      <c r="I11" s="3"/>
      <c r="J11" s="3">
        <v>3500</v>
      </c>
      <c r="K11" s="3"/>
      <c r="L11" s="3"/>
      <c r="M11" s="3">
        <v>470</v>
      </c>
      <c r="N11" s="3"/>
      <c r="O11" s="3">
        <v>506</v>
      </c>
      <c r="P11" s="3">
        <v>230</v>
      </c>
      <c r="Q11" s="3"/>
      <c r="R11" s="3"/>
      <c r="S11" s="3"/>
      <c r="T11" s="3"/>
      <c r="U11" s="3"/>
      <c r="V11" s="3"/>
      <c r="W11" s="3"/>
      <c r="X11" s="3"/>
      <c r="Y11" s="3"/>
      <c r="Z11" s="3"/>
      <c r="AA11" s="3"/>
      <c r="AB11" s="3"/>
      <c r="AC11" s="27">
        <f t="shared" si="0"/>
        <v>333401</v>
      </c>
      <c r="AD11" s="3"/>
    </row>
    <row r="12" spans="1:33" ht="16.5" thickBot="1">
      <c r="A12" s="21" t="s">
        <v>50</v>
      </c>
      <c r="B12" s="3">
        <v>306330</v>
      </c>
      <c r="C12" s="3">
        <v>27200</v>
      </c>
      <c r="D12" s="3">
        <v>24651</v>
      </c>
      <c r="E12" s="3"/>
      <c r="F12" s="3"/>
      <c r="G12" s="3">
        <v>13000</v>
      </c>
      <c r="H12" s="3">
        <v>16953</v>
      </c>
      <c r="I12" s="3">
        <v>47367</v>
      </c>
      <c r="J12" s="3">
        <v>3500</v>
      </c>
      <c r="K12" s="3"/>
      <c r="L12" s="3">
        <v>354</v>
      </c>
      <c r="M12" s="3">
        <f>1140-500</f>
        <v>640</v>
      </c>
      <c r="N12" s="3"/>
      <c r="O12" s="3">
        <v>313</v>
      </c>
      <c r="P12" s="3">
        <v>296</v>
      </c>
      <c r="Q12" s="3">
        <v>3952</v>
      </c>
      <c r="R12" s="3"/>
      <c r="S12" s="3"/>
      <c r="T12" s="3"/>
      <c r="U12" s="3"/>
      <c r="V12" s="3"/>
      <c r="W12" s="3"/>
      <c r="X12" s="3"/>
      <c r="Y12" s="3"/>
      <c r="Z12" s="3"/>
      <c r="AA12" s="3"/>
      <c r="AB12" s="3"/>
      <c r="AC12" s="27">
        <f t="shared" si="0"/>
        <v>444556</v>
      </c>
      <c r="AD12" s="3"/>
    </row>
    <row r="13" spans="1:33" ht="16.5" thickBot="1">
      <c r="A13" s="21" t="s">
        <v>51</v>
      </c>
      <c r="B13" s="24">
        <v>333992</v>
      </c>
      <c r="C13" s="24">
        <v>27200</v>
      </c>
      <c r="D13" s="24">
        <v>24651</v>
      </c>
      <c r="E13" s="24"/>
      <c r="F13" s="24"/>
      <c r="G13" s="24">
        <v>0</v>
      </c>
      <c r="H13" s="24">
        <v>935</v>
      </c>
      <c r="I13" s="24"/>
      <c r="J13" s="24">
        <v>3500</v>
      </c>
      <c r="K13" s="24"/>
      <c r="L13" s="24">
        <v>135</v>
      </c>
      <c r="M13" s="24">
        <v>700</v>
      </c>
      <c r="N13" s="24">
        <v>618</v>
      </c>
      <c r="O13" s="24">
        <v>328</v>
      </c>
      <c r="P13" s="24">
        <v>280</v>
      </c>
      <c r="Q13" s="24"/>
      <c r="R13" s="24"/>
      <c r="S13" s="24"/>
      <c r="T13" s="24"/>
      <c r="U13" s="24"/>
      <c r="V13" s="24"/>
      <c r="W13" s="24"/>
      <c r="X13" s="24"/>
      <c r="Y13" s="24"/>
      <c r="Z13" s="24"/>
      <c r="AA13" s="24"/>
      <c r="AB13" s="24">
        <v>2000</v>
      </c>
      <c r="AC13" s="27">
        <f t="shared" si="0"/>
        <v>394339</v>
      </c>
      <c r="AD13" s="24"/>
    </row>
    <row r="14" spans="1:33" ht="19.5" thickBot="1">
      <c r="B14" s="17">
        <f>SUM(B2:B13)+Q14</f>
        <v>3373382</v>
      </c>
      <c r="C14" s="16">
        <f>SUM(C2:C13)</f>
        <v>306400</v>
      </c>
      <c r="D14" s="17">
        <f>SUM(D2:D13)+Z14</f>
        <v>295692</v>
      </c>
      <c r="E14" s="59">
        <f>SUM(E2:E13)</f>
        <v>261345</v>
      </c>
      <c r="F14" s="17">
        <f>SUM(F2:F13)+S14</f>
        <v>164511</v>
      </c>
      <c r="G14" s="17">
        <f t="shared" ref="G14:AC14" si="1">SUM(G2:G13)</f>
        <v>146854</v>
      </c>
      <c r="H14" s="17">
        <f t="shared" si="1"/>
        <v>102368</v>
      </c>
      <c r="I14" s="17">
        <f t="shared" ref="I14:O14" si="2">SUM(I2:I13)</f>
        <v>47367</v>
      </c>
      <c r="J14" s="17">
        <f t="shared" si="2"/>
        <v>40450</v>
      </c>
      <c r="K14" s="17">
        <f t="shared" si="2"/>
        <v>22000</v>
      </c>
      <c r="L14" s="17">
        <f t="shared" si="2"/>
        <v>20746</v>
      </c>
      <c r="M14" s="17">
        <f t="shared" si="2"/>
        <v>17684</v>
      </c>
      <c r="N14" s="17">
        <f t="shared" si="2"/>
        <v>8639</v>
      </c>
      <c r="O14" s="17">
        <f t="shared" si="2"/>
        <v>9266</v>
      </c>
      <c r="P14" s="17">
        <f t="shared" si="1"/>
        <v>4926</v>
      </c>
      <c r="Q14" s="17">
        <f t="shared" si="1"/>
        <v>23780</v>
      </c>
      <c r="R14" s="17">
        <f t="shared" si="1"/>
        <v>2840</v>
      </c>
      <c r="S14" s="17">
        <f>SUM(S2:S13)</f>
        <v>9500</v>
      </c>
      <c r="T14" s="15">
        <f t="shared" si="1"/>
        <v>0</v>
      </c>
      <c r="U14" s="15">
        <f t="shared" si="1"/>
        <v>0</v>
      </c>
      <c r="V14" s="15">
        <f t="shared" si="1"/>
        <v>0</v>
      </c>
      <c r="W14" s="15">
        <f t="shared" si="1"/>
        <v>9180</v>
      </c>
      <c r="X14" s="17">
        <f t="shared" si="1"/>
        <v>6000</v>
      </c>
      <c r="Y14" s="17">
        <f t="shared" si="1"/>
        <v>5384</v>
      </c>
      <c r="Z14" s="15">
        <f t="shared" si="1"/>
        <v>5584</v>
      </c>
      <c r="AA14" s="15">
        <f t="shared" si="1"/>
        <v>5000</v>
      </c>
      <c r="AB14" s="15">
        <f>SUM(AB2:AB13)</f>
        <v>17500</v>
      </c>
      <c r="AC14" s="28">
        <f t="shared" si="1"/>
        <v>4867534</v>
      </c>
      <c r="AD14" s="15">
        <f>SUM(AD2:AD13)</f>
        <v>116042</v>
      </c>
    </row>
    <row r="15" spans="1:33" ht="15.75" thickBot="1">
      <c r="B15" s="2" t="s">
        <v>2</v>
      </c>
      <c r="C15" s="2" t="s">
        <v>88</v>
      </c>
      <c r="D15" s="2" t="s">
        <v>89</v>
      </c>
      <c r="E15" s="2" t="s">
        <v>97</v>
      </c>
      <c r="F15" s="2" t="s">
        <v>24</v>
      </c>
      <c r="G15" s="2" t="s">
        <v>103</v>
      </c>
      <c r="H15" s="2" t="s">
        <v>90</v>
      </c>
      <c r="I15" s="2" t="s">
        <v>98</v>
      </c>
      <c r="J15" s="2" t="s">
        <v>59</v>
      </c>
      <c r="K15" s="2" t="s">
        <v>96</v>
      </c>
      <c r="L15" s="2" t="s">
        <v>94</v>
      </c>
      <c r="M15" s="2" t="s">
        <v>99</v>
      </c>
      <c r="N15" s="2" t="s">
        <v>92</v>
      </c>
      <c r="O15" s="2" t="s">
        <v>91</v>
      </c>
      <c r="P15" s="2" t="s">
        <v>10</v>
      </c>
      <c r="Q15" s="2" t="s">
        <v>93</v>
      </c>
      <c r="R15" s="2" t="s">
        <v>11</v>
      </c>
      <c r="S15" s="3"/>
      <c r="W15" t="s">
        <v>93</v>
      </c>
      <c r="X15" s="2" t="s">
        <v>100</v>
      </c>
      <c r="Y15" s="3"/>
      <c r="AG15">
        <v>4652868</v>
      </c>
    </row>
    <row r="16" spans="1:33" ht="21.75" thickBot="1">
      <c r="A16" s="2" t="s">
        <v>53</v>
      </c>
      <c r="B16" s="3">
        <v>3373382</v>
      </c>
      <c r="C16" s="3">
        <v>304400</v>
      </c>
      <c r="D16" s="3">
        <v>295692</v>
      </c>
      <c r="E16" s="3">
        <v>261345</v>
      </c>
      <c r="F16" s="3">
        <v>164511</v>
      </c>
      <c r="G16" s="3">
        <v>146854</v>
      </c>
      <c r="H16" s="3">
        <v>102368</v>
      </c>
      <c r="I16" s="3">
        <v>47367</v>
      </c>
      <c r="J16" s="3">
        <v>40450</v>
      </c>
      <c r="K16" s="3">
        <v>22000</v>
      </c>
      <c r="L16" s="3">
        <v>20746</v>
      </c>
      <c r="M16" s="3">
        <v>17684</v>
      </c>
      <c r="N16" s="3">
        <v>8639</v>
      </c>
      <c r="O16" s="3">
        <v>9266</v>
      </c>
      <c r="P16" s="3">
        <v>4926</v>
      </c>
      <c r="Q16" s="3">
        <v>0</v>
      </c>
      <c r="R16" s="3">
        <v>2840</v>
      </c>
      <c r="S16" s="3"/>
      <c r="T16" s="3"/>
      <c r="U16" s="3"/>
      <c r="V16" s="3"/>
      <c r="W16" s="3"/>
      <c r="X16" s="3">
        <v>6000</v>
      </c>
      <c r="Y16" s="3"/>
      <c r="Z16" s="3"/>
      <c r="AA16" s="3"/>
      <c r="AB16" s="3"/>
      <c r="AC16" s="61">
        <f>AC14-Z14-AA14-AB14</f>
        <v>4839450</v>
      </c>
      <c r="AD16">
        <v>-173313</v>
      </c>
      <c r="AE16">
        <v>6176</v>
      </c>
      <c r="AF16">
        <v>35000</v>
      </c>
      <c r="AG16">
        <f>AC16+AD16+AE16+AF16</f>
        <v>4707313</v>
      </c>
    </row>
    <row r="17" spans="1:33">
      <c r="AG17">
        <f>AG15-AG16</f>
        <v>-54445</v>
      </c>
    </row>
    <row r="18" spans="1:33">
      <c r="A18" s="14" t="s">
        <v>19</v>
      </c>
      <c r="B18" s="60">
        <f>B14-B16</f>
        <v>0</v>
      </c>
      <c r="C18" s="14">
        <f>C14-C16</f>
        <v>2000</v>
      </c>
      <c r="D18" s="14">
        <f t="shared" ref="D18:X18" si="3">D14-D16</f>
        <v>0</v>
      </c>
      <c r="E18" s="60">
        <f>E14-E16</f>
        <v>0</v>
      </c>
      <c r="F18" s="14">
        <f t="shared" si="3"/>
        <v>0</v>
      </c>
      <c r="G18" s="60">
        <f t="shared" si="3"/>
        <v>0</v>
      </c>
      <c r="H18" s="60">
        <f t="shared" si="3"/>
        <v>0</v>
      </c>
      <c r="I18" s="14">
        <f t="shared" ref="I18:O18" si="4">I14-I16</f>
        <v>0</v>
      </c>
      <c r="J18" s="14">
        <f t="shared" si="4"/>
        <v>0</v>
      </c>
      <c r="K18" s="14">
        <f t="shared" si="4"/>
        <v>0</v>
      </c>
      <c r="L18" s="60">
        <f t="shared" si="4"/>
        <v>0</v>
      </c>
      <c r="M18" s="60">
        <f t="shared" si="4"/>
        <v>0</v>
      </c>
      <c r="N18" s="14">
        <f t="shared" si="4"/>
        <v>0</v>
      </c>
      <c r="O18" s="14">
        <f t="shared" si="4"/>
        <v>0</v>
      </c>
      <c r="P18" s="14">
        <f t="shared" si="3"/>
        <v>0</v>
      </c>
      <c r="Q18" s="14"/>
      <c r="R18" s="14">
        <f t="shared" si="3"/>
        <v>0</v>
      </c>
      <c r="S18" s="14">
        <v>0</v>
      </c>
      <c r="T18" s="14">
        <f t="shared" si="3"/>
        <v>0</v>
      </c>
      <c r="U18" s="14">
        <f t="shared" si="3"/>
        <v>0</v>
      </c>
      <c r="V18" s="14">
        <f t="shared" si="3"/>
        <v>0</v>
      </c>
      <c r="W18" s="60">
        <f t="shared" si="3"/>
        <v>9180</v>
      </c>
      <c r="X18" s="14">
        <f t="shared" si="3"/>
        <v>0</v>
      </c>
      <c r="Y18" s="14">
        <v>0</v>
      </c>
      <c r="Z18" s="14">
        <v>0</v>
      </c>
      <c r="AA18" s="14">
        <v>0</v>
      </c>
      <c r="AB18" s="14">
        <v>0</v>
      </c>
    </row>
    <row r="19" spans="1:33">
      <c r="C19" t="s">
        <v>102</v>
      </c>
      <c r="D19" t="s">
        <v>101</v>
      </c>
    </row>
    <row r="21" spans="1:33">
      <c r="A21" t="s">
        <v>104</v>
      </c>
      <c r="B21">
        <v>2363484</v>
      </c>
      <c r="C21">
        <v>286000</v>
      </c>
      <c r="D21">
        <v>268278</v>
      </c>
      <c r="E21">
        <v>228608</v>
      </c>
      <c r="F21">
        <v>157106</v>
      </c>
      <c r="G21">
        <v>187956</v>
      </c>
      <c r="H21">
        <v>417945</v>
      </c>
      <c r="I21">
        <v>51665</v>
      </c>
      <c r="K21">
        <v>55000</v>
      </c>
      <c r="L21">
        <v>10327</v>
      </c>
      <c r="M21">
        <v>35930</v>
      </c>
      <c r="N21">
        <v>15711</v>
      </c>
      <c r="O21">
        <v>7403</v>
      </c>
      <c r="P21">
        <v>5116</v>
      </c>
      <c r="Q21">
        <v>14603</v>
      </c>
      <c r="R21">
        <v>2240</v>
      </c>
      <c r="X21">
        <v>5160</v>
      </c>
    </row>
    <row r="23" spans="1:33">
      <c r="B23" s="14">
        <f>B14-B21</f>
        <v>1009898</v>
      </c>
      <c r="C23" s="14">
        <f>C14-C21</f>
        <v>20400</v>
      </c>
      <c r="D23" s="14">
        <f t="shared" ref="D23:R23" si="5">D14-D21</f>
        <v>27414</v>
      </c>
      <c r="E23" s="14">
        <f>E14-E21</f>
        <v>32737</v>
      </c>
      <c r="F23" s="14">
        <f t="shared" si="5"/>
        <v>7405</v>
      </c>
      <c r="G23" s="14">
        <f t="shared" si="5"/>
        <v>-41102</v>
      </c>
      <c r="H23" s="14">
        <f t="shared" si="5"/>
        <v>-315577</v>
      </c>
      <c r="I23" s="14">
        <f>I14-I21</f>
        <v>-4298</v>
      </c>
      <c r="J23" s="14"/>
      <c r="K23" s="14">
        <f>K14-K21</f>
        <v>-33000</v>
      </c>
      <c r="L23" s="14">
        <f>L14-L21</f>
        <v>10419</v>
      </c>
      <c r="M23" s="14">
        <f>M14-M21</f>
        <v>-18246</v>
      </c>
      <c r="N23" s="14">
        <f>N14-N21</f>
        <v>-7072</v>
      </c>
      <c r="O23" s="14">
        <f>O14-O21</f>
        <v>1863</v>
      </c>
      <c r="P23" s="14">
        <f t="shared" si="5"/>
        <v>-190</v>
      </c>
      <c r="Q23" s="14">
        <f t="shared" si="5"/>
        <v>9177</v>
      </c>
      <c r="R23" s="14">
        <f t="shared" si="5"/>
        <v>600</v>
      </c>
      <c r="X23" s="14">
        <f t="shared" ref="X23" si="6">X14-X21</f>
        <v>840</v>
      </c>
    </row>
    <row r="24" spans="1:33" ht="15.75" thickBot="1">
      <c r="A24" t="s">
        <v>114</v>
      </c>
      <c r="B24" s="64">
        <f>'FY10-11'!O4</f>
        <v>2209285</v>
      </c>
      <c r="C24" s="64">
        <f>'FY10-11'!O7</f>
        <v>240800</v>
      </c>
      <c r="D24" s="64">
        <f>'FY10-11'!O8</f>
        <v>233398</v>
      </c>
      <c r="E24">
        <f>'FY10-11'!O3</f>
        <v>213236</v>
      </c>
    </row>
    <row r="25" spans="1:33" ht="16.5" thickBot="1">
      <c r="A25" s="37" t="s">
        <v>115</v>
      </c>
      <c r="B25" s="62">
        <f>B23/B21</f>
        <v>0.42729208236654026</v>
      </c>
      <c r="C25" s="62">
        <f t="shared" ref="C25:R25" si="7">C23/C21</f>
        <v>7.1328671328671323E-2</v>
      </c>
      <c r="D25" s="62">
        <f t="shared" si="7"/>
        <v>0.1021850468543824</v>
      </c>
      <c r="E25" s="62">
        <f t="shared" si="7"/>
        <v>0.14320146276595744</v>
      </c>
      <c r="F25" s="62">
        <f t="shared" si="7"/>
        <v>4.7133782287118252E-2</v>
      </c>
      <c r="G25" s="62">
        <f t="shared" si="7"/>
        <v>-0.21867883972844709</v>
      </c>
      <c r="H25" s="62">
        <f t="shared" si="7"/>
        <v>-0.75506825060713734</v>
      </c>
      <c r="I25" s="62">
        <f t="shared" si="7"/>
        <v>-8.3189780315494052E-2</v>
      </c>
      <c r="J25" s="62" t="e">
        <f t="shared" si="7"/>
        <v>#DIV/0!</v>
      </c>
      <c r="K25" s="62">
        <f t="shared" si="7"/>
        <v>-0.6</v>
      </c>
      <c r="L25" s="62">
        <f t="shared" si="7"/>
        <v>1.0089086859688197</v>
      </c>
      <c r="M25" s="62">
        <f t="shared" si="7"/>
        <v>-0.50782076259393261</v>
      </c>
      <c r="N25" s="62">
        <f t="shared" si="7"/>
        <v>-0.45013048182801857</v>
      </c>
      <c r="O25" s="62">
        <f t="shared" si="7"/>
        <v>0.25165473456706738</v>
      </c>
      <c r="P25" s="62">
        <f t="shared" si="7"/>
        <v>-3.7138389366692726E-2</v>
      </c>
      <c r="Q25" s="62">
        <f t="shared" si="7"/>
        <v>0.6284325138670136</v>
      </c>
      <c r="R25" s="62">
        <f t="shared" si="7"/>
        <v>0.26785714285714285</v>
      </c>
    </row>
    <row r="27" spans="1:33" ht="15.75" thickBot="1"/>
    <row r="28" spans="1:33" ht="15.75" thickBot="1">
      <c r="A28" s="37" t="s">
        <v>116</v>
      </c>
      <c r="B28" s="65">
        <f>(B21-B24)/B24</f>
        <v>6.9795884188776011E-2</v>
      </c>
      <c r="C28" s="66">
        <f t="shared" ref="C28:E28" si="8">(C21-C24)/C24</f>
        <v>0.1877076411960133</v>
      </c>
      <c r="D28" s="66">
        <f t="shared" si="8"/>
        <v>0.14944429686629707</v>
      </c>
      <c r="E28" s="67">
        <f t="shared" si="8"/>
        <v>7.2089140670430887E-2</v>
      </c>
    </row>
    <row r="30" spans="1:33">
      <c r="I30">
        <f>22/42</f>
        <v>0.52380952380952384</v>
      </c>
      <c r="J30">
        <f>33/46</f>
        <v>0.71739130434782605</v>
      </c>
    </row>
    <row r="31" spans="1:33">
      <c r="B31">
        <v>35000</v>
      </c>
      <c r="D31">
        <v>8620</v>
      </c>
    </row>
    <row r="32" spans="1:33">
      <c r="B32">
        <v>1299</v>
      </c>
      <c r="D32">
        <v>1852335</v>
      </c>
    </row>
    <row r="33" spans="2:4">
      <c r="B33">
        <v>4926</v>
      </c>
      <c r="D33">
        <v>2710129</v>
      </c>
    </row>
    <row r="34" spans="2:4">
      <c r="B34">
        <v>6176</v>
      </c>
      <c r="D34">
        <v>21400</v>
      </c>
    </row>
    <row r="35" spans="2:4">
      <c r="B35">
        <v>3373382</v>
      </c>
      <c r="D35">
        <v>8000</v>
      </c>
    </row>
    <row r="36" spans="2:4">
      <c r="B36">
        <v>2840</v>
      </c>
      <c r="D36">
        <v>9000</v>
      </c>
    </row>
    <row r="37" spans="2:4">
      <c r="B37">
        <v>17684</v>
      </c>
      <c r="D37">
        <v>610</v>
      </c>
    </row>
    <row r="38" spans="2:4">
      <c r="B38">
        <v>146854</v>
      </c>
      <c r="D38">
        <v>41475</v>
      </c>
    </row>
    <row r="39" spans="2:4">
      <c r="B39">
        <v>47367</v>
      </c>
      <c r="D39" s="14">
        <f>SUM(D31:D38)</f>
        <v>4651569</v>
      </c>
    </row>
    <row r="40" spans="2:4">
      <c r="B40">
        <v>6000</v>
      </c>
    </row>
    <row r="41" spans="2:4">
      <c r="B41">
        <v>261345</v>
      </c>
    </row>
    <row r="42" spans="2:4">
      <c r="B42">
        <v>20746</v>
      </c>
    </row>
    <row r="43" spans="2:4">
      <c r="B43">
        <v>8639</v>
      </c>
    </row>
    <row r="44" spans="2:4">
      <c r="B44">
        <v>9266</v>
      </c>
    </row>
    <row r="45" spans="2:4">
      <c r="B45">
        <v>22000</v>
      </c>
    </row>
    <row r="46" spans="2:4">
      <c r="B46">
        <v>102368</v>
      </c>
    </row>
    <row r="47" spans="2:4">
      <c r="B47">
        <v>304400</v>
      </c>
    </row>
    <row r="48" spans="2:4">
      <c r="B48">
        <v>295692</v>
      </c>
    </row>
    <row r="49" spans="2:14">
      <c r="B49">
        <v>164511</v>
      </c>
      <c r="J49" t="s">
        <v>109</v>
      </c>
      <c r="L49" t="s">
        <v>112</v>
      </c>
      <c r="M49" t="s">
        <v>108</v>
      </c>
      <c r="N49" t="s">
        <v>113</v>
      </c>
    </row>
    <row r="50" spans="2:14">
      <c r="B50">
        <v>40450</v>
      </c>
      <c r="J50">
        <f>1450</f>
        <v>1450</v>
      </c>
      <c r="K50">
        <f>J50*12</f>
        <v>17400</v>
      </c>
      <c r="L50">
        <v>16400</v>
      </c>
      <c r="M50">
        <v>7800</v>
      </c>
      <c r="N50">
        <v>7500</v>
      </c>
    </row>
    <row r="51" spans="2:14">
      <c r="B51">
        <v>-219376</v>
      </c>
    </row>
    <row r="52" spans="2:14">
      <c r="K52">
        <f>K50*11</f>
        <v>191400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22"/>
  <sheetViews>
    <sheetView workbookViewId="0">
      <selection activeCell="J15" sqref="J15"/>
    </sheetView>
  </sheetViews>
  <sheetFormatPr defaultRowHeight="15"/>
  <cols>
    <col min="2" max="2" width="9.5703125" customWidth="1"/>
    <col min="9" max="9" width="12.7109375" bestFit="1" customWidth="1"/>
    <col min="15" max="15" width="12.28515625" bestFit="1" customWidth="1"/>
  </cols>
  <sheetData>
    <row r="1" spans="1:15" ht="15.75" thickBot="1">
      <c r="A1" s="172" t="s">
        <v>83</v>
      </c>
      <c r="B1" s="173"/>
      <c r="C1" s="173"/>
      <c r="D1" s="173" t="s">
        <v>82</v>
      </c>
      <c r="E1" s="173"/>
      <c r="F1" s="173"/>
      <c r="G1" s="48"/>
      <c r="H1" s="174" t="s">
        <v>86</v>
      </c>
      <c r="I1" s="175"/>
      <c r="J1" s="175"/>
      <c r="K1" s="176"/>
      <c r="L1" s="177" t="s">
        <v>87</v>
      </c>
      <c r="M1" s="178"/>
      <c r="N1" s="179"/>
      <c r="O1" s="34"/>
    </row>
    <row r="2" spans="1:15" ht="15.75" thickBot="1">
      <c r="A2" s="47"/>
      <c r="B2" s="38" t="s">
        <v>71</v>
      </c>
      <c r="C2" s="38" t="s">
        <v>72</v>
      </c>
      <c r="D2" s="38" t="s">
        <v>76</v>
      </c>
      <c r="E2" s="38" t="s">
        <v>79</v>
      </c>
      <c r="F2" s="38" t="s">
        <v>80</v>
      </c>
      <c r="G2" s="31" t="s">
        <v>20</v>
      </c>
      <c r="H2" s="49" t="s">
        <v>74</v>
      </c>
      <c r="I2" s="38" t="s">
        <v>75</v>
      </c>
      <c r="J2" s="50" t="s">
        <v>73</v>
      </c>
      <c r="K2" s="25" t="s">
        <v>20</v>
      </c>
      <c r="L2" s="55" t="s">
        <v>77</v>
      </c>
      <c r="M2" s="11" t="s">
        <v>78</v>
      </c>
      <c r="N2" s="29" t="s">
        <v>20</v>
      </c>
      <c r="O2" s="52" t="s">
        <v>81</v>
      </c>
    </row>
    <row r="3" spans="1:15" ht="15.75">
      <c r="A3" s="19" t="s">
        <v>36</v>
      </c>
      <c r="B3" s="20">
        <v>61300</v>
      </c>
      <c r="C3" s="20">
        <v>128626</v>
      </c>
      <c r="D3" s="20">
        <v>1000</v>
      </c>
      <c r="E3" s="20">
        <v>1500</v>
      </c>
      <c r="F3" s="20"/>
      <c r="G3" s="43">
        <f>SUM(B3:F3)</f>
        <v>192426</v>
      </c>
      <c r="H3" s="19"/>
      <c r="I3" s="20">
        <v>2000</v>
      </c>
      <c r="J3" s="20">
        <v>14000</v>
      </c>
      <c r="K3" s="43">
        <f>SUM(H3:J3)</f>
        <v>16000</v>
      </c>
      <c r="L3" s="21">
        <v>35000</v>
      </c>
      <c r="M3" s="9">
        <v>2000</v>
      </c>
      <c r="N3" s="58">
        <f>SUM(L3:M3)</f>
        <v>37000</v>
      </c>
      <c r="O3" s="53">
        <f>G3+K3+N3</f>
        <v>245426</v>
      </c>
    </row>
    <row r="4" spans="1:15" ht="15.75">
      <c r="A4" s="21" t="s">
        <v>37</v>
      </c>
      <c r="B4" s="3">
        <v>399000</v>
      </c>
      <c r="C4" s="3">
        <v>78761</v>
      </c>
      <c r="D4" s="3">
        <v>500</v>
      </c>
      <c r="E4" s="3"/>
      <c r="F4" s="3"/>
      <c r="G4" s="41">
        <f t="shared" ref="G4:G15" si="0">SUM(B4:F4)</f>
        <v>478261</v>
      </c>
      <c r="H4" s="21"/>
      <c r="I4" s="3">
        <v>1000</v>
      </c>
      <c r="J4" s="3">
        <v>94500</v>
      </c>
      <c r="K4" s="40">
        <f t="shared" ref="K4:K15" si="1">SUM(H4:J4)</f>
        <v>95500</v>
      </c>
      <c r="L4" s="21"/>
      <c r="M4" s="9">
        <v>3000</v>
      </c>
      <c r="N4" s="30">
        <f>SUM(L4:M4)</f>
        <v>3000</v>
      </c>
      <c r="O4" s="53">
        <f t="shared" ref="O4:O15" si="2">G4+K4+N4</f>
        <v>576761</v>
      </c>
    </row>
    <row r="5" spans="1:15" ht="15.75">
      <c r="A5" s="21" t="s">
        <v>56</v>
      </c>
      <c r="B5" s="3">
        <v>898300</v>
      </c>
      <c r="C5" s="3">
        <v>222371</v>
      </c>
      <c r="D5" s="3">
        <v>500</v>
      </c>
      <c r="E5" s="3"/>
      <c r="F5" s="3"/>
      <c r="G5" s="41">
        <f t="shared" si="0"/>
        <v>1121171</v>
      </c>
      <c r="H5" s="21"/>
      <c r="I5" s="3">
        <v>1000</v>
      </c>
      <c r="J5" s="3">
        <v>238000</v>
      </c>
      <c r="K5" s="40">
        <f t="shared" si="1"/>
        <v>239000</v>
      </c>
      <c r="L5" s="21"/>
      <c r="M5" s="9"/>
      <c r="N5" s="30"/>
      <c r="O5" s="53">
        <f t="shared" si="2"/>
        <v>1360171</v>
      </c>
    </row>
    <row r="6" spans="1:15" ht="15.75">
      <c r="A6" s="21" t="s">
        <v>39</v>
      </c>
      <c r="B6" s="3">
        <v>40300</v>
      </c>
      <c r="C6" s="3">
        <v>392480</v>
      </c>
      <c r="D6" s="3"/>
      <c r="E6" s="3"/>
      <c r="F6" s="3"/>
      <c r="G6" s="41">
        <f t="shared" si="0"/>
        <v>432780</v>
      </c>
      <c r="H6" s="21"/>
      <c r="I6" s="3"/>
      <c r="J6" s="3"/>
      <c r="K6" s="40">
        <f t="shared" si="1"/>
        <v>0</v>
      </c>
      <c r="L6" s="21">
        <v>50000</v>
      </c>
      <c r="M6" s="9"/>
      <c r="N6" s="30">
        <f t="shared" ref="N6:N14" si="3">SUM(L6:M6)</f>
        <v>50000</v>
      </c>
      <c r="O6" s="53">
        <f t="shared" si="2"/>
        <v>482780</v>
      </c>
    </row>
    <row r="7" spans="1:15" ht="15.75">
      <c r="A7" s="21" t="s">
        <v>40</v>
      </c>
      <c r="B7" s="3">
        <v>52435</v>
      </c>
      <c r="C7" s="3">
        <v>403046</v>
      </c>
      <c r="D7" s="3"/>
      <c r="E7" s="3">
        <v>800</v>
      </c>
      <c r="F7" s="3"/>
      <c r="G7" s="41">
        <f t="shared" si="0"/>
        <v>456281</v>
      </c>
      <c r="H7" s="21"/>
      <c r="I7" s="3"/>
      <c r="J7" s="3">
        <v>7000</v>
      </c>
      <c r="K7" s="40">
        <f t="shared" si="1"/>
        <v>7000</v>
      </c>
      <c r="L7" s="21"/>
      <c r="M7" s="9"/>
      <c r="N7" s="30"/>
      <c r="O7" s="53">
        <f t="shared" si="2"/>
        <v>463281</v>
      </c>
    </row>
    <row r="8" spans="1:15" ht="15.75">
      <c r="A8" s="21" t="s">
        <v>42</v>
      </c>
      <c r="B8" s="3">
        <v>55600</v>
      </c>
      <c r="C8" s="3">
        <v>350609</v>
      </c>
      <c r="D8" s="3">
        <v>500</v>
      </c>
      <c r="E8" s="3"/>
      <c r="F8" s="3"/>
      <c r="G8" s="41">
        <f t="shared" si="0"/>
        <v>406709</v>
      </c>
      <c r="H8" s="21"/>
      <c r="I8" s="3">
        <v>1000</v>
      </c>
      <c r="J8" s="3"/>
      <c r="K8" s="40">
        <f t="shared" si="1"/>
        <v>1000</v>
      </c>
      <c r="L8" s="21"/>
      <c r="M8" s="9"/>
      <c r="N8" s="30"/>
      <c r="O8" s="53">
        <f t="shared" si="2"/>
        <v>407709</v>
      </c>
    </row>
    <row r="9" spans="1:15" ht="15.75">
      <c r="A9" s="21" t="s">
        <v>43</v>
      </c>
      <c r="B9" s="3">
        <v>132200</v>
      </c>
      <c r="C9" s="3">
        <v>236730</v>
      </c>
      <c r="D9" s="3">
        <v>500</v>
      </c>
      <c r="E9" s="3">
        <v>700</v>
      </c>
      <c r="F9" s="3"/>
      <c r="G9" s="41">
        <f t="shared" si="0"/>
        <v>370130</v>
      </c>
      <c r="H9" s="21"/>
      <c r="I9" s="3">
        <v>1000</v>
      </c>
      <c r="J9" s="3">
        <v>10500</v>
      </c>
      <c r="K9" s="40">
        <f t="shared" si="1"/>
        <v>11500</v>
      </c>
      <c r="L9" s="21"/>
      <c r="M9" s="9">
        <v>900</v>
      </c>
      <c r="N9" s="30"/>
      <c r="O9" s="53">
        <f t="shared" si="2"/>
        <v>381630</v>
      </c>
    </row>
    <row r="10" spans="1:15" ht="15.75">
      <c r="A10" s="21" t="s">
        <v>44</v>
      </c>
      <c r="B10" s="3">
        <v>52000</v>
      </c>
      <c r="C10" s="3">
        <v>182127</v>
      </c>
      <c r="D10" s="3">
        <v>1000</v>
      </c>
      <c r="E10" s="3">
        <v>800</v>
      </c>
      <c r="F10" s="3"/>
      <c r="G10" s="41">
        <f t="shared" si="0"/>
        <v>235927</v>
      </c>
      <c r="H10" s="21"/>
      <c r="I10" s="3">
        <v>2000</v>
      </c>
      <c r="J10" s="3"/>
      <c r="K10" s="40">
        <f t="shared" si="1"/>
        <v>2000</v>
      </c>
      <c r="L10" s="21"/>
      <c r="M10" s="9">
        <f>1000+1500</f>
        <v>2500</v>
      </c>
      <c r="N10" s="30">
        <f t="shared" si="3"/>
        <v>2500</v>
      </c>
      <c r="O10" s="53">
        <f t="shared" si="2"/>
        <v>240427</v>
      </c>
    </row>
    <row r="11" spans="1:15" ht="15.75">
      <c r="A11" s="21" t="s">
        <v>45</v>
      </c>
      <c r="B11" s="3">
        <v>50700</v>
      </c>
      <c r="C11" s="3">
        <v>138123</v>
      </c>
      <c r="D11" s="3">
        <v>1000</v>
      </c>
      <c r="E11" s="3">
        <v>950</v>
      </c>
      <c r="F11" s="3"/>
      <c r="G11" s="41">
        <f t="shared" si="0"/>
        <v>190773</v>
      </c>
      <c r="H11" s="21">
        <v>3000</v>
      </c>
      <c r="I11" s="3">
        <v>2000</v>
      </c>
      <c r="J11" s="3">
        <v>3500</v>
      </c>
      <c r="K11" s="40">
        <f t="shared" si="1"/>
        <v>8500</v>
      </c>
      <c r="L11" s="21"/>
      <c r="M11" s="9"/>
      <c r="N11" s="30"/>
      <c r="O11" s="53">
        <f t="shared" si="2"/>
        <v>199273</v>
      </c>
    </row>
    <row r="12" spans="1:15" ht="15.75">
      <c r="A12" s="21" t="s">
        <v>47</v>
      </c>
      <c r="B12" s="3">
        <v>42900</v>
      </c>
      <c r="C12" s="3">
        <v>213383</v>
      </c>
      <c r="D12" s="3">
        <v>1000</v>
      </c>
      <c r="E12" s="3">
        <v>1850</v>
      </c>
      <c r="F12" s="3"/>
      <c r="G12" s="41">
        <f t="shared" si="0"/>
        <v>259133</v>
      </c>
      <c r="H12" s="21">
        <v>3000</v>
      </c>
      <c r="I12" s="3">
        <v>2000</v>
      </c>
      <c r="J12" s="3">
        <v>3500</v>
      </c>
      <c r="K12" s="40">
        <f t="shared" si="1"/>
        <v>8500</v>
      </c>
      <c r="L12" s="21"/>
      <c r="M12" s="9">
        <v>2000</v>
      </c>
      <c r="N12" s="30">
        <f t="shared" si="3"/>
        <v>2000</v>
      </c>
      <c r="O12" s="53">
        <f t="shared" si="2"/>
        <v>269633</v>
      </c>
    </row>
    <row r="13" spans="1:15" ht="15.75">
      <c r="A13" s="21" t="s">
        <v>50</v>
      </c>
      <c r="B13" s="3">
        <v>18200</v>
      </c>
      <c r="C13" s="3">
        <v>213222</v>
      </c>
      <c r="D13" s="3">
        <v>500</v>
      </c>
      <c r="E13" s="3">
        <v>300</v>
      </c>
      <c r="F13" s="3">
        <v>1000</v>
      </c>
      <c r="G13" s="41">
        <f t="shared" si="0"/>
        <v>233222</v>
      </c>
      <c r="H13" s="21"/>
      <c r="I13" s="3">
        <v>1000</v>
      </c>
      <c r="J13" s="3">
        <v>7884</v>
      </c>
      <c r="K13" s="40">
        <f t="shared" si="1"/>
        <v>8884</v>
      </c>
      <c r="L13" s="21"/>
      <c r="M13" s="9">
        <v>10000</v>
      </c>
      <c r="N13" s="30">
        <f t="shared" si="3"/>
        <v>10000</v>
      </c>
      <c r="O13" s="53">
        <f t="shared" si="2"/>
        <v>252106</v>
      </c>
    </row>
    <row r="14" spans="1:15" ht="16.5" thickBot="1">
      <c r="A14" s="22" t="s">
        <v>51</v>
      </c>
      <c r="B14" s="23">
        <v>49400</v>
      </c>
      <c r="C14" s="23">
        <v>150651</v>
      </c>
      <c r="D14" s="23">
        <v>1500</v>
      </c>
      <c r="E14" s="23">
        <v>1670</v>
      </c>
      <c r="F14" s="23"/>
      <c r="G14" s="44">
        <f t="shared" si="0"/>
        <v>203221</v>
      </c>
      <c r="H14" s="21"/>
      <c r="I14" s="3">
        <v>3000</v>
      </c>
      <c r="J14" s="3">
        <v>3500</v>
      </c>
      <c r="K14" s="25">
        <f t="shared" si="1"/>
        <v>6500</v>
      </c>
      <c r="L14" s="21"/>
      <c r="M14" s="9">
        <v>1000</v>
      </c>
      <c r="N14" s="30">
        <f t="shared" si="3"/>
        <v>1000</v>
      </c>
      <c r="O14" s="53">
        <f t="shared" si="2"/>
        <v>210721</v>
      </c>
    </row>
    <row r="15" spans="1:15" ht="21.75" thickBot="1">
      <c r="A15" s="42" t="s">
        <v>20</v>
      </c>
      <c r="B15" s="32">
        <f>SUM(B3:B14)</f>
        <v>1852335</v>
      </c>
      <c r="C15" s="32">
        <f>SUM(C3:C14)</f>
        <v>2710129</v>
      </c>
      <c r="D15" s="32">
        <f>SUM(D3:D14)</f>
        <v>8000</v>
      </c>
      <c r="E15" s="32">
        <f>SUM(E3:E14)</f>
        <v>8570</v>
      </c>
      <c r="F15" s="32">
        <f>SUM(F3:F14)</f>
        <v>1000</v>
      </c>
      <c r="G15" s="45">
        <f t="shared" si="0"/>
        <v>4580034</v>
      </c>
      <c r="H15" s="46">
        <f>SUM(H3:H14)</f>
        <v>6000</v>
      </c>
      <c r="I15" s="32">
        <f>SUM(I3:I14)</f>
        <v>16000</v>
      </c>
      <c r="J15" s="33">
        <f>SUM(J3:J14)</f>
        <v>382384</v>
      </c>
      <c r="K15" s="51">
        <f t="shared" si="1"/>
        <v>404384</v>
      </c>
      <c r="L15" s="56">
        <f>SUM(L3:L14)</f>
        <v>85000</v>
      </c>
      <c r="M15" s="57">
        <f>SUM(M3:M14)</f>
        <v>21400</v>
      </c>
      <c r="N15" s="39">
        <f>SUM(L15:M15)</f>
        <v>106400</v>
      </c>
      <c r="O15" s="54">
        <f t="shared" si="2"/>
        <v>5090818</v>
      </c>
    </row>
    <row r="17" spans="1:5" ht="15.75" thickBot="1">
      <c r="C17" s="14">
        <f>C15-'FY12-13-Exp'!B14</f>
        <v>-663253</v>
      </c>
      <c r="E17">
        <f>C17/12</f>
        <v>-55271.083333333336</v>
      </c>
    </row>
    <row r="18" spans="1:5" ht="15.75" thickBot="1">
      <c r="A18" s="35" t="s">
        <v>84</v>
      </c>
      <c r="B18" s="34">
        <f>G15</f>
        <v>4580034</v>
      </c>
    </row>
    <row r="19" spans="1:5" ht="15.75" thickBot="1">
      <c r="A19" s="35" t="s">
        <v>85</v>
      </c>
      <c r="B19" s="36">
        <f>'FY12-13-Exp'!AC16</f>
        <v>4839450</v>
      </c>
    </row>
    <row r="21" spans="1:5" ht="15.75" thickBot="1"/>
    <row r="22" spans="1:5" ht="15.75" thickBot="1">
      <c r="B22" s="37">
        <f>B18-B19</f>
        <v>-259416</v>
      </c>
    </row>
  </sheetData>
  <mergeCells count="4">
    <mergeCell ref="D1:F1"/>
    <mergeCell ref="A1:C1"/>
    <mergeCell ref="L1:N1"/>
    <mergeCell ref="H1:K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X37"/>
  <sheetViews>
    <sheetView workbookViewId="0">
      <selection activeCell="D14" sqref="D14"/>
    </sheetView>
  </sheetViews>
  <sheetFormatPr defaultRowHeight="15"/>
  <cols>
    <col min="7" max="7" width="14.5703125" bestFit="1" customWidth="1"/>
  </cols>
  <sheetData>
    <row r="1" spans="1:24">
      <c r="A1" s="14" t="s">
        <v>22</v>
      </c>
      <c r="B1" s="14" t="s">
        <v>4</v>
      </c>
      <c r="C1" s="14" t="s">
        <v>5</v>
      </c>
      <c r="D1" s="14" t="s">
        <v>23</v>
      </c>
      <c r="E1" s="14" t="s">
        <v>24</v>
      </c>
      <c r="F1" s="14" t="s">
        <v>25</v>
      </c>
      <c r="G1" s="14" t="s">
        <v>26</v>
      </c>
      <c r="H1" s="14" t="s">
        <v>27</v>
      </c>
      <c r="I1" s="14" t="s">
        <v>69</v>
      </c>
      <c r="J1" s="14" t="s">
        <v>28</v>
      </c>
      <c r="K1" s="14" t="s">
        <v>70</v>
      </c>
      <c r="L1" s="14" t="s">
        <v>11</v>
      </c>
      <c r="M1" s="14" t="s">
        <v>29</v>
      </c>
      <c r="N1" s="14" t="s">
        <v>30</v>
      </c>
      <c r="O1" s="14" t="s">
        <v>60</v>
      </c>
      <c r="P1" s="14" t="s">
        <v>32</v>
      </c>
      <c r="Q1" s="14" t="s">
        <v>33</v>
      </c>
      <c r="R1" s="14" t="s">
        <v>34</v>
      </c>
      <c r="S1" s="14" t="s">
        <v>35</v>
      </c>
      <c r="T1" s="14" t="s">
        <v>20</v>
      </c>
    </row>
    <row r="2" spans="1:24">
      <c r="A2" t="s">
        <v>36</v>
      </c>
      <c r="B2">
        <v>21100</v>
      </c>
      <c r="C2">
        <v>20309</v>
      </c>
      <c r="D2">
        <v>117896</v>
      </c>
      <c r="F2">
        <v>6000</v>
      </c>
      <c r="H2">
        <v>260</v>
      </c>
      <c r="I2">
        <v>400</v>
      </c>
      <c r="J2">
        <v>564</v>
      </c>
      <c r="K2">
        <v>1340</v>
      </c>
      <c r="M2">
        <v>282</v>
      </c>
      <c r="P2">
        <v>645</v>
      </c>
      <c r="T2">
        <v>168796</v>
      </c>
    </row>
    <row r="3" spans="1:24">
      <c r="A3" t="s">
        <v>37</v>
      </c>
      <c r="B3">
        <v>21100</v>
      </c>
      <c r="C3">
        <v>20309</v>
      </c>
      <c r="D3">
        <v>141640</v>
      </c>
      <c r="F3">
        <v>11000</v>
      </c>
      <c r="G3">
        <v>1100</v>
      </c>
      <c r="H3">
        <v>360</v>
      </c>
      <c r="I3">
        <v>2624</v>
      </c>
      <c r="J3">
        <v>1357</v>
      </c>
      <c r="K3">
        <v>700</v>
      </c>
      <c r="L3">
        <v>650</v>
      </c>
      <c r="M3">
        <v>320</v>
      </c>
      <c r="O3">
        <v>11000</v>
      </c>
      <c r="P3">
        <v>8704</v>
      </c>
      <c r="T3">
        <v>220864</v>
      </c>
    </row>
    <row r="4" spans="1:24">
      <c r="A4" t="s">
        <v>38</v>
      </c>
      <c r="B4">
        <v>21100</v>
      </c>
      <c r="C4">
        <v>20309</v>
      </c>
      <c r="D4">
        <v>251120</v>
      </c>
      <c r="E4">
        <v>3800</v>
      </c>
      <c r="F4">
        <v>12000</v>
      </c>
      <c r="G4">
        <v>2740</v>
      </c>
      <c r="H4">
        <v>480</v>
      </c>
      <c r="J4">
        <v>32</v>
      </c>
      <c r="K4">
        <v>130</v>
      </c>
      <c r="M4">
        <v>267</v>
      </c>
      <c r="P4">
        <v>125</v>
      </c>
      <c r="Q4">
        <v>2500</v>
      </c>
      <c r="T4">
        <v>314603</v>
      </c>
    </row>
    <row r="5" spans="1:24">
      <c r="A5" t="s">
        <v>39</v>
      </c>
      <c r="B5">
        <v>21100</v>
      </c>
      <c r="C5">
        <v>22469</v>
      </c>
      <c r="D5">
        <v>234730</v>
      </c>
      <c r="F5">
        <v>9000</v>
      </c>
      <c r="G5">
        <v>21257</v>
      </c>
      <c r="H5">
        <v>180</v>
      </c>
      <c r="I5">
        <v>658</v>
      </c>
      <c r="J5">
        <v>74</v>
      </c>
      <c r="K5">
        <v>485</v>
      </c>
      <c r="M5">
        <v>355</v>
      </c>
      <c r="N5">
        <v>29000</v>
      </c>
      <c r="P5">
        <v>565</v>
      </c>
      <c r="R5">
        <v>7740</v>
      </c>
      <c r="T5">
        <v>347613</v>
      </c>
    </row>
    <row r="6" spans="1:24">
      <c r="A6" t="s">
        <v>40</v>
      </c>
      <c r="B6">
        <v>25200</v>
      </c>
      <c r="C6">
        <v>22469</v>
      </c>
      <c r="D6">
        <v>229140</v>
      </c>
      <c r="E6">
        <v>21456</v>
      </c>
      <c r="F6">
        <v>11000</v>
      </c>
      <c r="G6">
        <v>43217</v>
      </c>
      <c r="H6">
        <v>470</v>
      </c>
      <c r="I6">
        <v>33</v>
      </c>
      <c r="J6">
        <v>527</v>
      </c>
      <c r="K6">
        <v>2465</v>
      </c>
      <c r="L6">
        <v>550</v>
      </c>
      <c r="M6">
        <v>239</v>
      </c>
      <c r="O6">
        <v>11000</v>
      </c>
      <c r="P6">
        <v>656</v>
      </c>
      <c r="T6">
        <v>368422</v>
      </c>
      <c r="U6">
        <v>402293</v>
      </c>
      <c r="V6" t="s">
        <v>41</v>
      </c>
    </row>
    <row r="7" spans="1:24">
      <c r="A7" t="s">
        <v>42</v>
      </c>
      <c r="B7">
        <v>25200</v>
      </c>
      <c r="C7">
        <v>22469</v>
      </c>
      <c r="D7">
        <v>213970</v>
      </c>
      <c r="F7">
        <v>18000</v>
      </c>
      <c r="G7">
        <v>22700</v>
      </c>
      <c r="H7">
        <v>550</v>
      </c>
      <c r="I7">
        <v>2470</v>
      </c>
      <c r="J7">
        <v>1007</v>
      </c>
      <c r="K7">
        <v>1760</v>
      </c>
      <c r="O7">
        <v>11000</v>
      </c>
      <c r="P7">
        <v>388</v>
      </c>
      <c r="S7">
        <v>5160</v>
      </c>
      <c r="T7">
        <v>324674</v>
      </c>
    </row>
    <row r="8" spans="1:24">
      <c r="A8" t="s">
        <v>43</v>
      </c>
      <c r="B8">
        <v>25200</v>
      </c>
      <c r="C8">
        <v>22469</v>
      </c>
      <c r="D8">
        <v>217640</v>
      </c>
      <c r="E8">
        <v>8250</v>
      </c>
      <c r="F8">
        <v>23000</v>
      </c>
      <c r="G8">
        <v>39380</v>
      </c>
      <c r="I8">
        <v>2877</v>
      </c>
      <c r="J8">
        <v>403</v>
      </c>
      <c r="K8">
        <v>893</v>
      </c>
      <c r="M8">
        <v>6770</v>
      </c>
      <c r="O8">
        <v>11000</v>
      </c>
      <c r="P8">
        <v>10118</v>
      </c>
      <c r="T8">
        <v>368000</v>
      </c>
    </row>
    <row r="9" spans="1:24">
      <c r="A9" t="s">
        <v>44</v>
      </c>
      <c r="B9">
        <v>25200</v>
      </c>
      <c r="C9">
        <v>22469</v>
      </c>
      <c r="D9">
        <v>161410</v>
      </c>
      <c r="F9">
        <v>10000</v>
      </c>
      <c r="G9">
        <v>16286</v>
      </c>
      <c r="H9">
        <v>150</v>
      </c>
      <c r="I9">
        <v>3001</v>
      </c>
      <c r="J9">
        <v>54</v>
      </c>
      <c r="K9">
        <v>2194</v>
      </c>
      <c r="L9">
        <v>480</v>
      </c>
      <c r="M9">
        <v>239</v>
      </c>
      <c r="P9">
        <v>129</v>
      </c>
      <c r="T9">
        <v>241612</v>
      </c>
    </row>
    <row r="10" spans="1:24">
      <c r="A10" t="s">
        <v>45</v>
      </c>
      <c r="B10">
        <v>25200</v>
      </c>
      <c r="C10">
        <v>22469</v>
      </c>
      <c r="D10">
        <v>132420</v>
      </c>
      <c r="F10">
        <v>9000</v>
      </c>
      <c r="G10">
        <v>70331</v>
      </c>
      <c r="H10">
        <v>356</v>
      </c>
      <c r="I10">
        <v>298</v>
      </c>
      <c r="J10">
        <v>694</v>
      </c>
      <c r="K10">
        <v>2985</v>
      </c>
      <c r="M10">
        <v>261</v>
      </c>
      <c r="O10">
        <v>11000</v>
      </c>
      <c r="P10">
        <v>625</v>
      </c>
      <c r="T10">
        <v>275639</v>
      </c>
      <c r="U10">
        <v>12700</v>
      </c>
      <c r="V10" t="s">
        <v>46</v>
      </c>
    </row>
    <row r="11" spans="1:24">
      <c r="A11" t="s">
        <v>47</v>
      </c>
      <c r="B11">
        <v>25200</v>
      </c>
      <c r="C11">
        <v>22469</v>
      </c>
      <c r="D11">
        <v>167340</v>
      </c>
      <c r="F11">
        <v>7000</v>
      </c>
      <c r="G11">
        <v>209836</v>
      </c>
      <c r="H11">
        <v>240</v>
      </c>
      <c r="I11">
        <v>1894</v>
      </c>
      <c r="J11">
        <v>458</v>
      </c>
      <c r="P11">
        <v>678</v>
      </c>
      <c r="T11">
        <v>435115</v>
      </c>
      <c r="U11">
        <v>898</v>
      </c>
      <c r="V11" t="s">
        <v>48</v>
      </c>
      <c r="X11" t="s">
        <v>49</v>
      </c>
    </row>
    <row r="12" spans="1:24">
      <c r="A12" t="s">
        <v>50</v>
      </c>
      <c r="B12">
        <v>25200</v>
      </c>
      <c r="C12">
        <v>22469</v>
      </c>
      <c r="D12">
        <v>222420</v>
      </c>
      <c r="F12">
        <v>6000</v>
      </c>
      <c r="G12">
        <v>35845</v>
      </c>
      <c r="H12">
        <v>340</v>
      </c>
      <c r="I12">
        <v>749</v>
      </c>
      <c r="J12">
        <v>383</v>
      </c>
      <c r="K12">
        <v>1678</v>
      </c>
      <c r="L12">
        <v>560</v>
      </c>
      <c r="M12">
        <v>288</v>
      </c>
      <c r="N12">
        <v>128000</v>
      </c>
      <c r="P12">
        <v>12590</v>
      </c>
      <c r="T12">
        <v>456522</v>
      </c>
    </row>
    <row r="13" spans="1:24">
      <c r="A13" t="s">
        <v>51</v>
      </c>
      <c r="B13">
        <v>25200</v>
      </c>
      <c r="C13">
        <v>22469</v>
      </c>
      <c r="D13">
        <v>259128</v>
      </c>
      <c r="F13">
        <v>6000</v>
      </c>
      <c r="G13">
        <v>1000</v>
      </c>
      <c r="H13">
        <v>1730</v>
      </c>
      <c r="I13">
        <v>707</v>
      </c>
      <c r="J13">
        <v>1850</v>
      </c>
      <c r="M13">
        <v>400</v>
      </c>
      <c r="N13">
        <v>29000</v>
      </c>
      <c r="P13">
        <v>4707</v>
      </c>
      <c r="T13">
        <v>352191</v>
      </c>
      <c r="U13">
        <v>1000</v>
      </c>
      <c r="V13" t="s">
        <v>52</v>
      </c>
    </row>
    <row r="14" spans="1:24">
      <c r="B14">
        <v>286000</v>
      </c>
      <c r="C14">
        <v>263148</v>
      </c>
      <c r="D14">
        <v>2348854</v>
      </c>
      <c r="E14">
        <v>33506</v>
      </c>
      <c r="F14">
        <v>128000</v>
      </c>
      <c r="G14">
        <v>463692</v>
      </c>
      <c r="H14">
        <v>5116</v>
      </c>
      <c r="I14">
        <v>15711</v>
      </c>
      <c r="J14">
        <v>7403</v>
      </c>
      <c r="K14">
        <v>14630</v>
      </c>
      <c r="L14">
        <v>2240</v>
      </c>
      <c r="M14">
        <v>9421</v>
      </c>
      <c r="N14">
        <v>186000</v>
      </c>
      <c r="O14">
        <v>55000</v>
      </c>
      <c r="P14">
        <v>39930</v>
      </c>
      <c r="Q14">
        <v>2500</v>
      </c>
      <c r="R14">
        <v>7740</v>
      </c>
      <c r="S14">
        <v>5160</v>
      </c>
      <c r="T14">
        <v>3874051</v>
      </c>
    </row>
    <row r="15" spans="1:24">
      <c r="D15">
        <v>14630</v>
      </c>
    </row>
    <row r="16" spans="1:24">
      <c r="A16" t="s">
        <v>53</v>
      </c>
      <c r="B16">
        <v>286000</v>
      </c>
      <c r="C16">
        <v>268278</v>
      </c>
      <c r="D16">
        <v>2392174</v>
      </c>
      <c r="E16">
        <v>10486</v>
      </c>
      <c r="G16">
        <v>412063</v>
      </c>
      <c r="H16">
        <v>5116</v>
      </c>
      <c r="I16">
        <v>15711</v>
      </c>
      <c r="J16">
        <v>7403</v>
      </c>
      <c r="L16">
        <v>2240</v>
      </c>
      <c r="M16">
        <v>10327</v>
      </c>
      <c r="N16">
        <v>187956</v>
      </c>
      <c r="O16">
        <v>66000</v>
      </c>
      <c r="P16">
        <v>30812</v>
      </c>
      <c r="T16">
        <v>3694566</v>
      </c>
    </row>
    <row r="18" spans="1:16">
      <c r="A18" t="s">
        <v>19</v>
      </c>
      <c r="B18">
        <v>0</v>
      </c>
      <c r="C18">
        <v>-5130</v>
      </c>
      <c r="D18">
        <v>-28690</v>
      </c>
      <c r="E18">
        <v>23020</v>
      </c>
      <c r="F18">
        <v>128000</v>
      </c>
      <c r="G18">
        <v>51629</v>
      </c>
      <c r="H18">
        <v>0</v>
      </c>
      <c r="I18">
        <v>0</v>
      </c>
      <c r="J18">
        <v>0</v>
      </c>
      <c r="K18">
        <v>14630</v>
      </c>
      <c r="L18">
        <v>0</v>
      </c>
      <c r="M18">
        <v>-906</v>
      </c>
      <c r="N18">
        <v>-1956</v>
      </c>
      <c r="O18">
        <v>-11000</v>
      </c>
      <c r="P18">
        <v>9118</v>
      </c>
    </row>
    <row r="29" spans="1:16">
      <c r="B29" t="s">
        <v>54</v>
      </c>
      <c r="D29" t="s">
        <v>55</v>
      </c>
    </row>
    <row r="30" spans="1:16">
      <c r="B30">
        <v>20000</v>
      </c>
      <c r="D30">
        <v>85000</v>
      </c>
    </row>
    <row r="31" spans="1:16">
      <c r="B31">
        <v>11000</v>
      </c>
    </row>
    <row r="32" spans="1:16">
      <c r="B32">
        <v>54300</v>
      </c>
    </row>
    <row r="33" spans="2:4">
      <c r="B33">
        <v>118960</v>
      </c>
    </row>
    <row r="34" spans="2:4">
      <c r="B34">
        <v>35000</v>
      </c>
    </row>
    <row r="36" spans="2:4">
      <c r="D36">
        <v>2392174</v>
      </c>
    </row>
    <row r="37" spans="2:4">
      <c r="D37">
        <v>43320</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P29"/>
  <sheetViews>
    <sheetView workbookViewId="0">
      <selection activeCell="D17" sqref="D17"/>
    </sheetView>
  </sheetViews>
  <sheetFormatPr defaultRowHeight="15"/>
  <cols>
    <col min="1" max="1" width="16.28515625" customWidth="1"/>
    <col min="2" max="2" width="11.7109375" bestFit="1" customWidth="1"/>
    <col min="3" max="5" width="10.140625" bestFit="1" customWidth="1"/>
    <col min="6" max="6" width="11.85546875" customWidth="1"/>
    <col min="7" max="14" width="10.140625" bestFit="1" customWidth="1"/>
    <col min="15" max="15" width="11.7109375" bestFit="1" customWidth="1"/>
    <col min="16" max="16" width="9.85546875" bestFit="1" customWidth="1"/>
  </cols>
  <sheetData>
    <row r="2" spans="1:16">
      <c r="A2" s="2" t="s">
        <v>0</v>
      </c>
      <c r="B2" s="3"/>
      <c r="C2" s="4">
        <v>40269</v>
      </c>
      <c r="D2" s="4">
        <v>40299</v>
      </c>
      <c r="E2" s="4">
        <v>40330</v>
      </c>
      <c r="F2" s="4">
        <v>40360</v>
      </c>
      <c r="G2" s="4">
        <v>40391</v>
      </c>
      <c r="H2" s="4">
        <v>40422</v>
      </c>
      <c r="I2" s="4">
        <v>40452</v>
      </c>
      <c r="J2" s="4">
        <v>40483</v>
      </c>
      <c r="K2" s="4">
        <v>40513</v>
      </c>
      <c r="L2" s="4">
        <v>40544</v>
      </c>
      <c r="M2" s="4">
        <v>40575</v>
      </c>
      <c r="N2" s="4">
        <v>40603</v>
      </c>
      <c r="O2" s="8" t="s">
        <v>20</v>
      </c>
      <c r="P2" s="2" t="s">
        <v>19</v>
      </c>
    </row>
    <row r="3" spans="1:16">
      <c r="A3" s="3" t="s">
        <v>1</v>
      </c>
      <c r="B3" s="5">
        <v>213236</v>
      </c>
      <c r="C3" s="3"/>
      <c r="D3" s="3"/>
      <c r="E3" s="3"/>
      <c r="F3" s="3">
        <f>213236</f>
        <v>213236</v>
      </c>
      <c r="G3" s="3"/>
      <c r="H3" s="3"/>
      <c r="I3" s="3"/>
      <c r="J3" s="3"/>
      <c r="K3" s="3"/>
      <c r="L3" s="3"/>
      <c r="M3" s="3"/>
      <c r="N3" s="3"/>
      <c r="O3" s="9">
        <f t="shared" ref="O3:O12" si="0">SUM(C3:N3)</f>
        <v>213236</v>
      </c>
      <c r="P3" s="5">
        <f t="shared" ref="P3:P12" si="1">B3-O3</f>
        <v>0</v>
      </c>
    </row>
    <row r="4" spans="1:16">
      <c r="A4" s="3" t="s">
        <v>2</v>
      </c>
      <c r="B4" s="5">
        <v>2236214</v>
      </c>
      <c r="C4" s="5">
        <v>130837</v>
      </c>
      <c r="D4" s="5">
        <v>214118</v>
      </c>
      <c r="E4" s="5">
        <v>270741</v>
      </c>
      <c r="F4" s="5">
        <v>286580</v>
      </c>
      <c r="G4" s="5">
        <v>264320</v>
      </c>
      <c r="H4" s="5">
        <v>198420</v>
      </c>
      <c r="I4" s="5">
        <v>157240</v>
      </c>
      <c r="J4" s="5">
        <v>147289</v>
      </c>
      <c r="K4" s="5">
        <v>116440</v>
      </c>
      <c r="L4" s="5">
        <v>133290</v>
      </c>
      <c r="M4" s="5">
        <v>174590</v>
      </c>
      <c r="N4" s="5">
        <v>115420</v>
      </c>
      <c r="O4" s="10">
        <f t="shared" si="0"/>
        <v>2209285</v>
      </c>
      <c r="P4" s="5">
        <f t="shared" si="1"/>
        <v>26929</v>
      </c>
    </row>
    <row r="5" spans="1:16">
      <c r="A5" s="3" t="s">
        <v>3</v>
      </c>
      <c r="B5" s="5">
        <v>176724</v>
      </c>
      <c r="C5" s="3">
        <v>6233</v>
      </c>
      <c r="D5" s="3">
        <v>32352</v>
      </c>
      <c r="E5" s="3">
        <v>4372</v>
      </c>
      <c r="F5" s="3">
        <v>4855</v>
      </c>
      <c r="G5" s="3">
        <v>2850</v>
      </c>
      <c r="H5" s="3">
        <v>1059</v>
      </c>
      <c r="I5" s="3">
        <v>11644</v>
      </c>
      <c r="J5" s="3">
        <v>6085</v>
      </c>
      <c r="K5" s="3">
        <v>13630</v>
      </c>
      <c r="L5" s="3">
        <v>13691</v>
      </c>
      <c r="M5" s="3">
        <v>4914</v>
      </c>
      <c r="N5" s="3">
        <v>3139</v>
      </c>
      <c r="O5" s="10">
        <f t="shared" si="0"/>
        <v>104824</v>
      </c>
      <c r="P5" s="5">
        <f t="shared" si="1"/>
        <v>71900</v>
      </c>
    </row>
    <row r="6" spans="1:16">
      <c r="A6" s="3" t="s">
        <v>21</v>
      </c>
      <c r="B6" s="5">
        <v>141275.65</v>
      </c>
      <c r="C6" s="3">
        <f>10000</f>
        <v>10000</v>
      </c>
      <c r="D6" s="3">
        <v>18000</v>
      </c>
      <c r="E6" s="3">
        <v>16000</v>
      </c>
      <c r="F6" s="3">
        <v>14000</v>
      </c>
      <c r="G6" s="3">
        <v>13000</v>
      </c>
      <c r="H6" s="7">
        <f>3000+29000</f>
        <v>32000</v>
      </c>
      <c r="I6" s="3">
        <v>4000</v>
      </c>
      <c r="J6" s="3">
        <v>3000</v>
      </c>
      <c r="K6" s="3">
        <v>6020</v>
      </c>
      <c r="L6" s="3">
        <v>6000</v>
      </c>
      <c r="M6" s="3">
        <v>0</v>
      </c>
      <c r="N6" s="3">
        <v>13000</v>
      </c>
      <c r="O6" s="10">
        <f t="shared" si="0"/>
        <v>135020</v>
      </c>
      <c r="P6" s="5">
        <f t="shared" si="1"/>
        <v>6255.6499999999942</v>
      </c>
    </row>
    <row r="7" spans="1:16">
      <c r="A7" s="3" t="s">
        <v>4</v>
      </c>
      <c r="B7" s="5">
        <v>219700</v>
      </c>
      <c r="C7" s="3">
        <v>18650</v>
      </c>
      <c r="D7" s="3">
        <v>18650</v>
      </c>
      <c r="E7" s="3">
        <v>18650</v>
      </c>
      <c r="F7" s="3">
        <v>16050</v>
      </c>
      <c r="G7" s="3">
        <v>21100</v>
      </c>
      <c r="H7" s="3">
        <v>21100</v>
      </c>
      <c r="I7" s="3">
        <v>21100</v>
      </c>
      <c r="J7" s="3">
        <v>21100</v>
      </c>
      <c r="K7" s="3">
        <v>21100</v>
      </c>
      <c r="L7" s="3">
        <v>21100</v>
      </c>
      <c r="M7" s="3">
        <v>21100</v>
      </c>
      <c r="N7" s="3">
        <v>21100</v>
      </c>
      <c r="O7" s="10">
        <f t="shared" si="0"/>
        <v>240800</v>
      </c>
      <c r="P7" s="5">
        <f t="shared" si="1"/>
        <v>-21100</v>
      </c>
    </row>
    <row r="8" spans="1:16">
      <c r="A8" s="3" t="s">
        <v>5</v>
      </c>
      <c r="B8" s="5">
        <v>213089</v>
      </c>
      <c r="C8" s="3">
        <v>18903</v>
      </c>
      <c r="D8" s="3">
        <v>0</v>
      </c>
      <c r="E8" s="3">
        <v>41869</v>
      </c>
      <c r="F8" s="3">
        <v>10154</v>
      </c>
      <c r="G8" s="3">
        <v>20309</v>
      </c>
      <c r="H8" s="3">
        <v>20309</v>
      </c>
      <c r="I8" s="3">
        <v>20309</v>
      </c>
      <c r="J8" s="3">
        <v>20309</v>
      </c>
      <c r="K8" s="3">
        <v>20309</v>
      </c>
      <c r="L8" s="3">
        <v>20309</v>
      </c>
      <c r="M8" s="3">
        <v>20309</v>
      </c>
      <c r="N8" s="3">
        <v>20309</v>
      </c>
      <c r="O8" s="10">
        <f t="shared" si="0"/>
        <v>233398</v>
      </c>
      <c r="P8" s="5">
        <f t="shared" si="1"/>
        <v>-20309</v>
      </c>
    </row>
    <row r="9" spans="1:16">
      <c r="A9" s="3" t="s">
        <v>6</v>
      </c>
      <c r="B9" s="5">
        <v>49527</v>
      </c>
      <c r="C9" s="3"/>
      <c r="D9" s="3"/>
      <c r="E9" s="3">
        <f>5500</f>
        <v>5500</v>
      </c>
      <c r="F9" s="3"/>
      <c r="G9" s="3"/>
      <c r="H9" s="3">
        <f>11000</f>
        <v>11000</v>
      </c>
      <c r="I9" s="3"/>
      <c r="J9" s="3">
        <f>11000</f>
        <v>11000</v>
      </c>
      <c r="K9" s="3"/>
      <c r="L9" s="3">
        <v>11000</v>
      </c>
      <c r="M9" s="3"/>
      <c r="N9" s="3">
        <f>53768</f>
        <v>53768</v>
      </c>
      <c r="O9" s="10">
        <f t="shared" si="0"/>
        <v>92268</v>
      </c>
      <c r="P9" s="5">
        <f t="shared" si="1"/>
        <v>-42741</v>
      </c>
    </row>
    <row r="10" spans="1:16">
      <c r="A10" s="3" t="s">
        <v>7</v>
      </c>
      <c r="B10" s="5">
        <v>48936</v>
      </c>
      <c r="C10" s="3"/>
      <c r="D10" s="3"/>
      <c r="E10" s="3">
        <v>22600</v>
      </c>
      <c r="F10" s="3">
        <v>14287</v>
      </c>
      <c r="G10" s="3"/>
      <c r="H10" s="3"/>
      <c r="I10" s="3"/>
      <c r="J10" s="3"/>
      <c r="K10" s="3">
        <v>12049</v>
      </c>
      <c r="L10" s="3"/>
      <c r="M10" s="3"/>
      <c r="N10" s="3"/>
      <c r="O10" s="10">
        <f t="shared" si="0"/>
        <v>48936</v>
      </c>
      <c r="P10" s="5">
        <f t="shared" si="1"/>
        <v>0</v>
      </c>
    </row>
    <row r="11" spans="1:16">
      <c r="A11" s="3" t="s">
        <v>8</v>
      </c>
      <c r="B11" s="5">
        <v>51665</v>
      </c>
      <c r="C11" s="3"/>
      <c r="D11" s="3"/>
      <c r="E11" s="3"/>
      <c r="F11" s="3"/>
      <c r="G11" s="3"/>
      <c r="H11" s="3"/>
      <c r="I11" s="3"/>
      <c r="J11" s="3"/>
      <c r="K11" s="3"/>
      <c r="L11" s="3"/>
      <c r="M11" s="3">
        <v>51665</v>
      </c>
      <c r="N11" s="3"/>
      <c r="O11" s="10">
        <f t="shared" si="0"/>
        <v>51665</v>
      </c>
      <c r="P11" s="5">
        <f t="shared" si="1"/>
        <v>0</v>
      </c>
    </row>
    <row r="12" spans="1:16">
      <c r="A12" s="3" t="s">
        <v>17</v>
      </c>
      <c r="B12" s="5">
        <v>5554</v>
      </c>
      <c r="C12" s="3"/>
      <c r="D12" s="3"/>
      <c r="E12" s="3"/>
      <c r="F12" s="3"/>
      <c r="G12" s="3"/>
      <c r="H12" s="3"/>
      <c r="I12" s="3"/>
      <c r="J12" s="3"/>
      <c r="K12" s="3"/>
      <c r="L12" s="3"/>
      <c r="M12" s="3"/>
      <c r="N12" s="3">
        <v>5554</v>
      </c>
      <c r="O12" s="10">
        <f t="shared" si="0"/>
        <v>5554</v>
      </c>
      <c r="P12" s="5">
        <f t="shared" si="1"/>
        <v>0</v>
      </c>
    </row>
    <row r="13" spans="1:16">
      <c r="A13" s="3" t="s">
        <v>10</v>
      </c>
      <c r="B13" s="5">
        <v>3170</v>
      </c>
      <c r="C13" s="3"/>
      <c r="D13" s="3"/>
      <c r="E13" s="3"/>
      <c r="F13" s="3"/>
      <c r="G13" s="3"/>
      <c r="H13" s="3"/>
      <c r="I13" s="3"/>
      <c r="J13" s="3"/>
      <c r="K13" s="3"/>
      <c r="L13" s="3"/>
      <c r="M13" s="3"/>
      <c r="N13" s="3"/>
      <c r="O13" s="9"/>
      <c r="P13" s="3"/>
    </row>
    <row r="14" spans="1:16">
      <c r="A14" s="3" t="s">
        <v>11</v>
      </c>
      <c r="B14" s="5">
        <v>3365</v>
      </c>
      <c r="C14" s="3"/>
      <c r="D14" s="3"/>
      <c r="E14" s="3"/>
      <c r="F14" s="3"/>
      <c r="G14" s="3"/>
      <c r="H14" s="3"/>
      <c r="I14" s="3"/>
      <c r="J14" s="3"/>
      <c r="K14" s="3"/>
      <c r="L14" s="3"/>
      <c r="M14" s="3"/>
      <c r="N14" s="3"/>
      <c r="O14" s="9"/>
      <c r="P14" s="3"/>
    </row>
    <row r="15" spans="1:16">
      <c r="A15" s="3" t="s">
        <v>12</v>
      </c>
      <c r="B15" s="5">
        <v>7116</v>
      </c>
      <c r="C15" s="3"/>
      <c r="D15" s="3"/>
      <c r="E15" s="3"/>
      <c r="F15" s="3"/>
      <c r="G15" s="3"/>
      <c r="H15" s="3"/>
      <c r="I15" s="3"/>
      <c r="J15" s="3"/>
      <c r="K15" s="3"/>
      <c r="L15" s="3"/>
      <c r="M15" s="3"/>
      <c r="N15" s="3"/>
      <c r="O15" s="9"/>
      <c r="P15" s="3"/>
    </row>
    <row r="16" spans="1:16">
      <c r="A16" s="3" t="s">
        <v>13</v>
      </c>
      <c r="B16" s="5">
        <v>4803</v>
      </c>
      <c r="C16" s="3"/>
      <c r="D16" s="3"/>
      <c r="E16" s="3"/>
      <c r="F16" s="3"/>
      <c r="G16" s="3"/>
      <c r="H16" s="3"/>
      <c r="I16" s="3"/>
      <c r="J16" s="3"/>
      <c r="K16" s="3"/>
      <c r="L16" s="3"/>
      <c r="M16" s="3"/>
      <c r="N16" s="3"/>
      <c r="O16" s="9"/>
      <c r="P16" s="3"/>
    </row>
    <row r="17" spans="1:16">
      <c r="A17" s="3" t="s">
        <v>16</v>
      </c>
      <c r="B17" s="5">
        <v>14419</v>
      </c>
      <c r="C17" s="3"/>
      <c r="D17" s="3"/>
      <c r="E17" s="3"/>
      <c r="F17" s="3"/>
      <c r="G17" s="3"/>
      <c r="H17" s="3"/>
      <c r="I17" s="3"/>
      <c r="J17" s="3"/>
      <c r="K17" s="3"/>
      <c r="L17" s="3"/>
      <c r="M17" s="3"/>
      <c r="N17" s="3"/>
      <c r="O17" s="9"/>
      <c r="P17" s="3"/>
    </row>
    <row r="18" spans="1:16">
      <c r="A18" s="3" t="s">
        <v>18</v>
      </c>
      <c r="B18" s="5">
        <v>91603.35</v>
      </c>
      <c r="C18" s="3"/>
      <c r="D18" s="3"/>
      <c r="E18" s="3"/>
      <c r="F18" s="3"/>
      <c r="G18" s="3"/>
      <c r="H18" s="3"/>
      <c r="I18" s="3"/>
      <c r="J18" s="3"/>
      <c r="K18" s="3"/>
      <c r="L18" s="3"/>
      <c r="M18" s="3"/>
      <c r="N18" s="3"/>
      <c r="O18" s="9"/>
      <c r="P18" s="3"/>
    </row>
    <row r="19" spans="1:16">
      <c r="A19" s="3"/>
      <c r="B19" s="6">
        <f>SUM(B3:B18)</f>
        <v>3480397</v>
      </c>
      <c r="C19" s="3"/>
      <c r="D19" s="3"/>
      <c r="E19" s="3"/>
      <c r="F19" s="3"/>
      <c r="G19" s="3"/>
      <c r="H19" s="3"/>
      <c r="I19" s="3"/>
      <c r="J19" s="3"/>
      <c r="K19" s="3"/>
      <c r="L19" s="3"/>
      <c r="M19" s="3"/>
      <c r="N19" s="3"/>
      <c r="O19" s="9"/>
      <c r="P19" s="3"/>
    </row>
    <row r="20" spans="1:16">
      <c r="P20" s="3"/>
    </row>
    <row r="21" spans="1:16">
      <c r="P21" s="3"/>
    </row>
    <row r="22" spans="1:16">
      <c r="P22" s="3"/>
    </row>
    <row r="23" spans="1:16">
      <c r="A23" s="3" t="s">
        <v>9</v>
      </c>
      <c r="B23" s="5">
        <v>12735</v>
      </c>
      <c r="C23" s="3"/>
      <c r="D23" s="3"/>
      <c r="E23" s="3"/>
      <c r="F23" s="3"/>
      <c r="G23" s="3"/>
      <c r="H23" s="3"/>
      <c r="I23" s="3"/>
      <c r="J23" s="3"/>
      <c r="K23" s="3"/>
      <c r="L23" s="3"/>
      <c r="M23" s="3"/>
      <c r="N23" s="3"/>
      <c r="O23" s="9"/>
      <c r="P23" s="3"/>
    </row>
    <row r="24" spans="1:16">
      <c r="A24" s="3" t="s">
        <v>14</v>
      </c>
      <c r="B24" s="5">
        <v>3909</v>
      </c>
      <c r="C24" s="3"/>
      <c r="D24" s="3"/>
      <c r="E24" s="3"/>
      <c r="F24" s="3"/>
      <c r="G24" s="3"/>
      <c r="H24" s="3"/>
      <c r="I24" s="3"/>
      <c r="J24" s="3"/>
      <c r="K24" s="3"/>
      <c r="L24" s="3"/>
      <c r="M24" s="3"/>
      <c r="N24" s="3"/>
      <c r="O24" s="9"/>
      <c r="P24" s="3"/>
    </row>
    <row r="25" spans="1:16" ht="15.75" thickBot="1">
      <c r="A25" s="3" t="s">
        <v>15</v>
      </c>
      <c r="B25" s="5">
        <v>22862</v>
      </c>
      <c r="C25" s="5">
        <v>4619</v>
      </c>
      <c r="D25" s="5">
        <v>2576</v>
      </c>
      <c r="E25" s="5">
        <v>4210</v>
      </c>
      <c r="F25" s="5">
        <v>415</v>
      </c>
      <c r="G25" s="5">
        <v>2113</v>
      </c>
      <c r="H25" s="5">
        <v>1155</v>
      </c>
      <c r="I25" s="5">
        <v>330</v>
      </c>
      <c r="J25" s="5">
        <v>2400</v>
      </c>
      <c r="K25" s="5">
        <v>1315</v>
      </c>
      <c r="L25" s="5">
        <v>0</v>
      </c>
      <c r="M25" s="5">
        <v>0</v>
      </c>
      <c r="N25" s="5">
        <v>811</v>
      </c>
      <c r="O25" s="11">
        <f>SUM(C25:N25)</f>
        <v>19944</v>
      </c>
      <c r="P25" s="13">
        <f>B25-O25</f>
        <v>2918</v>
      </c>
    </row>
    <row r="26" spans="1:16" ht="15.75" thickBot="1">
      <c r="B26" s="1">
        <f>SUM(B23:B25)</f>
        <v>39506</v>
      </c>
      <c r="P26" s="12">
        <f>SUM(P4:P25)</f>
        <v>23852.649999999994</v>
      </c>
    </row>
    <row r="29" spans="1:16">
      <c r="B29" s="1">
        <f>B19+B26</f>
        <v>3519903</v>
      </c>
    </row>
  </sheetData>
  <pageMargins left="0.7" right="0.7" top="0.75" bottom="0.75" header="0.3" footer="0.3"/>
  <pageSetup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3"/>
  <sheetViews>
    <sheetView workbookViewId="0">
      <selection activeCell="A18" sqref="A18"/>
    </sheetView>
  </sheetViews>
  <sheetFormatPr defaultRowHeight="15"/>
  <sheetData>
    <row r="1" spans="1:15">
      <c r="A1" t="s">
        <v>134</v>
      </c>
    </row>
    <row r="3" spans="1:15">
      <c r="A3" t="s">
        <v>105</v>
      </c>
      <c r="C3">
        <v>19400</v>
      </c>
      <c r="D3">
        <f>B3*C3</f>
        <v>0</v>
      </c>
    </row>
    <row r="4" spans="1:15">
      <c r="A4" t="s">
        <v>109</v>
      </c>
      <c r="C4">
        <v>20400</v>
      </c>
      <c r="D4">
        <f>B4*C4</f>
        <v>0</v>
      </c>
    </row>
    <row r="5" spans="1:15">
      <c r="A5" t="s">
        <v>108</v>
      </c>
      <c r="C5">
        <v>9900</v>
      </c>
      <c r="D5">
        <f>B5*C5</f>
        <v>0</v>
      </c>
      <c r="O5" s="63"/>
    </row>
    <row r="6" spans="1:15">
      <c r="B6" s="14">
        <f>SUM(B3:B5)</f>
        <v>0</v>
      </c>
      <c r="D6" s="14">
        <f>SUM(D3:D5)</f>
        <v>0</v>
      </c>
    </row>
    <row r="7" spans="1:15">
      <c r="A7" t="s">
        <v>107</v>
      </c>
      <c r="D7">
        <f>B7*C7</f>
        <v>0</v>
      </c>
      <c r="E7" s="14"/>
    </row>
    <row r="8" spans="1:15">
      <c r="B8" s="14"/>
      <c r="D8" s="14">
        <f>SUM(D6:D7)</f>
        <v>0</v>
      </c>
    </row>
    <row r="9" spans="1:15">
      <c r="A9" t="s">
        <v>135</v>
      </c>
    </row>
    <row r="11" spans="1:15">
      <c r="A11" t="s">
        <v>105</v>
      </c>
      <c r="C11">
        <v>19400</v>
      </c>
      <c r="D11">
        <f>B11*C11</f>
        <v>0</v>
      </c>
    </row>
    <row r="12" spans="1:15">
      <c r="A12" t="s">
        <v>109</v>
      </c>
      <c r="C12">
        <v>20400</v>
      </c>
      <c r="D12">
        <f>B12*C12</f>
        <v>0</v>
      </c>
      <c r="H12" s="14"/>
    </row>
    <row r="13" spans="1:15">
      <c r="A13" t="s">
        <v>108</v>
      </c>
      <c r="C13">
        <v>9900</v>
      </c>
      <c r="D13">
        <f>B13*C13</f>
        <v>0</v>
      </c>
    </row>
    <row r="14" spans="1:15">
      <c r="B14" s="14">
        <f>SUM(B11:B13)</f>
        <v>0</v>
      </c>
      <c r="D14" s="14">
        <f>SUM(D11:D13)</f>
        <v>0</v>
      </c>
    </row>
    <row r="15" spans="1:15">
      <c r="A15" t="s">
        <v>107</v>
      </c>
      <c r="D15">
        <f>B15*C15</f>
        <v>0</v>
      </c>
    </row>
    <row r="16" spans="1:15">
      <c r="B16" s="14"/>
      <c r="D16" s="14">
        <f>SUM(D14:D15)</f>
        <v>0</v>
      </c>
    </row>
    <row r="17" spans="1:13">
      <c r="A17" t="s">
        <v>133</v>
      </c>
    </row>
    <row r="19" spans="1:13">
      <c r="A19" t="s">
        <v>105</v>
      </c>
      <c r="C19">
        <v>19400</v>
      </c>
      <c r="D19">
        <f>B19*C19</f>
        <v>0</v>
      </c>
    </row>
    <row r="20" spans="1:13">
      <c r="A20" t="s">
        <v>109</v>
      </c>
      <c r="C20">
        <v>20400</v>
      </c>
      <c r="D20">
        <f>B20*C20</f>
        <v>0</v>
      </c>
    </row>
    <row r="21" spans="1:13">
      <c r="A21" t="s">
        <v>108</v>
      </c>
      <c r="C21">
        <v>9900</v>
      </c>
      <c r="D21">
        <f>B21*C21</f>
        <v>0</v>
      </c>
    </row>
    <row r="22" spans="1:13">
      <c r="B22" s="14">
        <f>SUM(B19:B21)</f>
        <v>0</v>
      </c>
      <c r="D22" s="14">
        <f>SUM(D19:D21)</f>
        <v>0</v>
      </c>
    </row>
    <row r="23" spans="1:13">
      <c r="A23" t="s">
        <v>107</v>
      </c>
      <c r="D23">
        <f>B23*C23</f>
        <v>0</v>
      </c>
      <c r="M23">
        <v>1273511</v>
      </c>
    </row>
    <row r="24" spans="1:13">
      <c r="B24" s="14"/>
      <c r="D24" s="14">
        <f>SUM(D22:D23)</f>
        <v>0</v>
      </c>
      <c r="M24">
        <v>1271212</v>
      </c>
    </row>
    <row r="25" spans="1:13">
      <c r="B25" s="14"/>
      <c r="D25" s="14"/>
      <c r="M25">
        <f>M23-M24</f>
        <v>2299</v>
      </c>
    </row>
    <row r="26" spans="1:13">
      <c r="A26" t="s">
        <v>106</v>
      </c>
      <c r="E26">
        <f>15600/12</f>
        <v>1300</v>
      </c>
    </row>
    <row r="27" spans="1:13">
      <c r="E27" s="14"/>
    </row>
    <row r="28" spans="1:13">
      <c r="A28" t="s">
        <v>105</v>
      </c>
      <c r="B28">
        <v>91</v>
      </c>
      <c r="C28">
        <v>14700</v>
      </c>
      <c r="D28">
        <f>B28*C28</f>
        <v>1337700</v>
      </c>
    </row>
    <row r="29" spans="1:13">
      <c r="A29" t="s">
        <v>109</v>
      </c>
      <c r="B29">
        <v>21</v>
      </c>
      <c r="C29">
        <v>15600</v>
      </c>
      <c r="D29">
        <f>B29*C29</f>
        <v>327600</v>
      </c>
    </row>
    <row r="30" spans="1:13">
      <c r="A30" t="s">
        <v>108</v>
      </c>
      <c r="B30">
        <v>12</v>
      </c>
      <c r="C30">
        <v>15000</v>
      </c>
      <c r="D30">
        <f>B30*C30</f>
        <v>180000</v>
      </c>
    </row>
    <row r="31" spans="1:13">
      <c r="B31" s="14">
        <f>SUM(B28:B30)</f>
        <v>124</v>
      </c>
      <c r="D31" s="14">
        <f>SUM(D28:D30)</f>
        <v>1845300</v>
      </c>
    </row>
    <row r="32" spans="1:13">
      <c r="A32" t="s">
        <v>107</v>
      </c>
      <c r="B32">
        <v>16</v>
      </c>
      <c r="C32">
        <v>15600</v>
      </c>
      <c r="D32">
        <f>B32*C32</f>
        <v>249600</v>
      </c>
    </row>
    <row r="33" spans="1:4">
      <c r="B33" s="14">
        <f>SUM(B31:B32)</f>
        <v>140</v>
      </c>
      <c r="D33" s="14">
        <f>SUM(D31:D32)</f>
        <v>2094900</v>
      </c>
    </row>
    <row r="38" spans="1:4">
      <c r="A38" t="s">
        <v>110</v>
      </c>
      <c r="B38" t="s">
        <v>111</v>
      </c>
    </row>
    <row r="40" spans="1:4">
      <c r="A40" t="s">
        <v>105</v>
      </c>
      <c r="B40">
        <v>101</v>
      </c>
      <c r="C40">
        <v>13500</v>
      </c>
      <c r="D40">
        <f>B40*C40</f>
        <v>1363500</v>
      </c>
    </row>
    <row r="41" spans="1:4">
      <c r="A41" t="s">
        <v>109</v>
      </c>
      <c r="B41">
        <v>19</v>
      </c>
      <c r="C41">
        <v>14400</v>
      </c>
      <c r="D41">
        <f>B41*C41</f>
        <v>273600</v>
      </c>
    </row>
    <row r="42" spans="1:4">
      <c r="A42" t="s">
        <v>108</v>
      </c>
      <c r="B42">
        <v>12</v>
      </c>
      <c r="C42">
        <v>13800</v>
      </c>
      <c r="D42">
        <f>B42*C42</f>
        <v>165600</v>
      </c>
    </row>
    <row r="43" spans="1:4">
      <c r="B43" s="14">
        <f>SUM(B40:B42)</f>
        <v>132</v>
      </c>
      <c r="D43" s="14">
        <f>SUM(D40:D42)</f>
        <v>1802700</v>
      </c>
    </row>
    <row r="44" spans="1:4">
      <c r="A44" t="s">
        <v>107</v>
      </c>
      <c r="B44">
        <v>8</v>
      </c>
      <c r="C44">
        <v>15600</v>
      </c>
      <c r="D44">
        <f>B44*C44</f>
        <v>124800</v>
      </c>
    </row>
    <row r="45" spans="1:4">
      <c r="B45" s="14">
        <f>SUM(B43:B44)</f>
        <v>140</v>
      </c>
      <c r="D45" s="14">
        <f>SUM(D43:D44)</f>
        <v>1927500</v>
      </c>
    </row>
    <row r="51" spans="2:4">
      <c r="B51" s="14"/>
      <c r="C51">
        <f>C41/12</f>
        <v>1200</v>
      </c>
      <c r="D51" s="14"/>
    </row>
    <row r="53" spans="2:4">
      <c r="B53" s="14"/>
      <c r="D53" s="14"/>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7"/>
  <sheetViews>
    <sheetView workbookViewId="0">
      <selection activeCell="E17" sqref="E17"/>
    </sheetView>
  </sheetViews>
  <sheetFormatPr defaultRowHeight="15"/>
  <cols>
    <col min="1" max="1" width="10.5703125" customWidth="1"/>
    <col min="2" max="2" width="12.85546875" customWidth="1"/>
    <col min="3" max="3" width="13.140625" customWidth="1"/>
    <col min="4" max="4" width="13.42578125" customWidth="1"/>
    <col min="5" max="5" width="16.7109375" customWidth="1"/>
    <col min="6" max="6" width="15.28515625" customWidth="1"/>
    <col min="7" max="7" width="12" customWidth="1"/>
    <col min="8" max="8" width="11.140625" customWidth="1"/>
    <col min="9" max="9" width="9.140625" hidden="1" customWidth="1"/>
    <col min="10" max="10" width="15.140625" customWidth="1"/>
    <col min="11" max="11" width="11.85546875" customWidth="1"/>
    <col min="12" max="12" width="13.140625" customWidth="1"/>
    <col min="13" max="13" width="14.5703125" customWidth="1"/>
    <col min="14" max="14" width="13.7109375" customWidth="1"/>
    <col min="16" max="16" width="10.5703125" customWidth="1"/>
    <col min="18" max="18" width="12" customWidth="1"/>
    <col min="19" max="19" width="12.7109375" customWidth="1"/>
    <col min="20" max="20" width="9.140625" hidden="1" customWidth="1"/>
    <col min="21" max="21" width="9" customWidth="1"/>
    <col min="22" max="22" width="9.140625" hidden="1" customWidth="1"/>
    <col min="29" max="29" width="11.140625" customWidth="1"/>
    <col min="30" max="30" width="10.85546875" customWidth="1"/>
    <col min="31" max="31" width="13.140625" customWidth="1"/>
    <col min="32" max="32" width="12.7109375" customWidth="1"/>
    <col min="33" max="33" width="14.42578125" customWidth="1"/>
    <col min="34" max="34" width="14" customWidth="1"/>
    <col min="35" max="35" width="14.5703125" customWidth="1"/>
    <col min="36" max="36" width="10" customWidth="1"/>
    <col min="37" max="37" width="16.5703125" customWidth="1"/>
    <col min="38" max="38" width="10.7109375" customWidth="1"/>
    <col min="39" max="39" width="15.5703125" customWidth="1"/>
  </cols>
  <sheetData>
    <row r="1" spans="1:37">
      <c r="A1" s="115" t="s">
        <v>22</v>
      </c>
      <c r="B1" s="115" t="s">
        <v>23</v>
      </c>
      <c r="C1" s="115" t="s">
        <v>218</v>
      </c>
      <c r="D1" s="115" t="s">
        <v>219</v>
      </c>
      <c r="E1" s="115" t="s">
        <v>256</v>
      </c>
      <c r="F1" s="115" t="s">
        <v>258</v>
      </c>
      <c r="G1" s="115" t="s">
        <v>260</v>
      </c>
      <c r="H1" s="115" t="s">
        <v>4</v>
      </c>
      <c r="I1" s="115" t="s">
        <v>5</v>
      </c>
      <c r="J1" s="115" t="s">
        <v>247</v>
      </c>
      <c r="K1" s="115" t="s">
        <v>254</v>
      </c>
      <c r="L1" s="115" t="s">
        <v>31</v>
      </c>
      <c r="M1" s="115" t="s">
        <v>58</v>
      </c>
      <c r="N1" s="115" t="s">
        <v>24</v>
      </c>
      <c r="O1" s="115" t="s">
        <v>57</v>
      </c>
      <c r="P1" s="115" t="s">
        <v>26</v>
      </c>
      <c r="Q1" s="115" t="s">
        <v>70</v>
      </c>
      <c r="R1" s="115" t="s">
        <v>245</v>
      </c>
      <c r="S1" s="115" t="s">
        <v>11</v>
      </c>
      <c r="T1" s="115" t="s">
        <v>128</v>
      </c>
      <c r="U1" s="115" t="s">
        <v>66</v>
      </c>
      <c r="V1" s="115" t="s">
        <v>222</v>
      </c>
      <c r="W1" s="115" t="s">
        <v>118</v>
      </c>
      <c r="X1" s="115" t="s">
        <v>59</v>
      </c>
      <c r="Y1" s="115" t="s">
        <v>246</v>
      </c>
      <c r="Z1" s="115" t="s">
        <v>29</v>
      </c>
      <c r="AA1" s="115" t="s">
        <v>61</v>
      </c>
      <c r="AB1" s="115" t="s">
        <v>261</v>
      </c>
      <c r="AC1" s="115" t="s">
        <v>27</v>
      </c>
      <c r="AD1" s="115" t="s">
        <v>223</v>
      </c>
      <c r="AE1" s="115" t="s">
        <v>263</v>
      </c>
      <c r="AF1" s="135" t="s">
        <v>251</v>
      </c>
      <c r="AG1" s="135" t="s">
        <v>252</v>
      </c>
      <c r="AH1" s="135" t="s">
        <v>253</v>
      </c>
      <c r="AI1" s="135" t="s">
        <v>264</v>
      </c>
      <c r="AJ1" s="135" t="s">
        <v>162</v>
      </c>
      <c r="AK1" s="135" t="s">
        <v>255</v>
      </c>
    </row>
    <row r="2" spans="1:37">
      <c r="A2" s="115"/>
      <c r="B2" s="115" t="s">
        <v>225</v>
      </c>
      <c r="C2" s="115" t="s">
        <v>226</v>
      </c>
      <c r="D2" s="115" t="s">
        <v>227</v>
      </c>
      <c r="E2" s="115" t="s">
        <v>257</v>
      </c>
      <c r="F2" s="115" t="s">
        <v>259</v>
      </c>
      <c r="G2" s="115" t="s">
        <v>262</v>
      </c>
      <c r="H2" s="115"/>
      <c r="I2" s="115"/>
      <c r="J2" s="115" t="s">
        <v>248</v>
      </c>
      <c r="K2" s="115"/>
      <c r="L2" s="115"/>
      <c r="M2" s="115"/>
      <c r="N2" s="115"/>
      <c r="O2" s="115"/>
      <c r="P2" s="115"/>
      <c r="Q2" s="115"/>
      <c r="R2" s="115"/>
      <c r="S2" s="115"/>
      <c r="T2" s="115"/>
      <c r="U2" s="115"/>
      <c r="V2" s="115" t="s">
        <v>71</v>
      </c>
      <c r="W2" s="115"/>
      <c r="X2" s="115"/>
      <c r="Y2" s="115"/>
      <c r="Z2" s="115"/>
      <c r="AA2" s="115"/>
      <c r="AB2" s="115"/>
      <c r="AC2" s="115"/>
      <c r="AD2" s="115" t="s">
        <v>194</v>
      </c>
      <c r="AE2" s="115"/>
      <c r="AF2" s="137"/>
      <c r="AG2" s="137"/>
      <c r="AH2" s="137"/>
      <c r="AI2" s="137"/>
      <c r="AJ2" s="137"/>
      <c r="AK2" s="137"/>
    </row>
    <row r="3" spans="1:37">
      <c r="A3" s="116" t="s">
        <v>234</v>
      </c>
      <c r="B3" s="117">
        <v>165950</v>
      </c>
      <c r="C3" s="117">
        <v>179955</v>
      </c>
      <c r="D3" s="117">
        <v>14005</v>
      </c>
      <c r="E3" s="117">
        <v>26920</v>
      </c>
      <c r="F3" s="117">
        <v>55015</v>
      </c>
      <c r="G3" s="117">
        <f>SUM(E3-F3)</f>
        <v>-28095</v>
      </c>
      <c r="H3" s="117">
        <v>41900</v>
      </c>
      <c r="I3" s="117">
        <v>47604</v>
      </c>
      <c r="J3" s="117">
        <v>0</v>
      </c>
      <c r="K3" s="117">
        <v>0</v>
      </c>
      <c r="L3" s="117">
        <v>8000</v>
      </c>
      <c r="M3" s="117">
        <v>18540</v>
      </c>
      <c r="N3" s="117">
        <v>0</v>
      </c>
      <c r="O3" s="117">
        <v>0</v>
      </c>
      <c r="P3" s="117">
        <v>192168</v>
      </c>
      <c r="Q3" s="117">
        <v>0</v>
      </c>
      <c r="R3" s="117">
        <v>2476</v>
      </c>
      <c r="S3" s="117">
        <v>4600</v>
      </c>
      <c r="T3" s="117">
        <v>0</v>
      </c>
      <c r="U3" s="117">
        <v>481</v>
      </c>
      <c r="V3" s="117">
        <v>0</v>
      </c>
      <c r="W3" s="117">
        <v>29150</v>
      </c>
      <c r="X3" s="117">
        <v>1190</v>
      </c>
      <c r="Y3" s="117">
        <v>2000</v>
      </c>
      <c r="Z3" s="117">
        <v>330</v>
      </c>
      <c r="AA3" s="117">
        <v>500</v>
      </c>
      <c r="AB3" s="117">
        <v>1355</v>
      </c>
      <c r="AC3" s="117">
        <v>2978</v>
      </c>
      <c r="AD3" s="117">
        <v>0</v>
      </c>
      <c r="AE3" s="117">
        <v>0</v>
      </c>
      <c r="AF3" s="137"/>
      <c r="AG3" s="137"/>
      <c r="AH3" s="137"/>
      <c r="AI3" s="137"/>
      <c r="AJ3" s="137"/>
      <c r="AK3" s="137"/>
    </row>
    <row r="4" spans="1:37">
      <c r="A4" s="116" t="s">
        <v>235</v>
      </c>
      <c r="B4" s="117">
        <v>515930</v>
      </c>
      <c r="C4" s="117">
        <v>437119</v>
      </c>
      <c r="D4" s="117">
        <v>-78811</v>
      </c>
      <c r="E4" s="117">
        <v>60940</v>
      </c>
      <c r="F4" s="117">
        <v>89069</v>
      </c>
      <c r="G4" s="117">
        <f t="shared" ref="G4:G14" si="0">SUM(E4-F4)</f>
        <v>-28129</v>
      </c>
      <c r="H4" s="117">
        <v>43900</v>
      </c>
      <c r="I4" s="117">
        <v>47604</v>
      </c>
      <c r="J4" s="117">
        <v>0</v>
      </c>
      <c r="K4" s="117">
        <v>0</v>
      </c>
      <c r="L4" s="117">
        <v>0</v>
      </c>
      <c r="M4" s="117">
        <v>0</v>
      </c>
      <c r="N4" s="117">
        <v>0</v>
      </c>
      <c r="O4" s="117">
        <v>10600</v>
      </c>
      <c r="P4" s="117">
        <v>22465</v>
      </c>
      <c r="Q4" s="117">
        <v>0</v>
      </c>
      <c r="R4" s="117">
        <v>2184</v>
      </c>
      <c r="S4" s="117">
        <v>0</v>
      </c>
      <c r="T4" s="117">
        <v>0</v>
      </c>
      <c r="U4" s="117">
        <v>490</v>
      </c>
      <c r="V4" s="117">
        <v>0</v>
      </c>
      <c r="W4" s="117">
        <v>1905</v>
      </c>
      <c r="X4" s="117">
        <v>580</v>
      </c>
      <c r="Y4" s="117">
        <v>0</v>
      </c>
      <c r="Z4" s="117">
        <v>502</v>
      </c>
      <c r="AA4" s="117">
        <v>500</v>
      </c>
      <c r="AB4" s="117">
        <v>4600</v>
      </c>
      <c r="AC4" s="117">
        <v>2380</v>
      </c>
      <c r="AD4" s="117">
        <v>0</v>
      </c>
      <c r="AE4" s="117">
        <v>0</v>
      </c>
      <c r="AF4" s="137"/>
      <c r="AG4" s="137"/>
      <c r="AH4" s="137"/>
      <c r="AI4" s="137"/>
      <c r="AJ4" s="137"/>
      <c r="AK4" s="137"/>
    </row>
    <row r="5" spans="1:37">
      <c r="A5" s="116" t="s">
        <v>236</v>
      </c>
      <c r="B5" s="117">
        <v>682360</v>
      </c>
      <c r="C5" s="117">
        <v>623352</v>
      </c>
      <c r="D5" s="117">
        <v>-59008</v>
      </c>
      <c r="E5" s="117">
        <v>93000</v>
      </c>
      <c r="F5" s="117">
        <v>32021</v>
      </c>
      <c r="G5" s="117">
        <f t="shared" si="0"/>
        <v>60979</v>
      </c>
      <c r="H5" s="117">
        <v>43900</v>
      </c>
      <c r="I5" s="117">
        <v>47604</v>
      </c>
      <c r="J5" s="117">
        <v>0</v>
      </c>
      <c r="K5" s="117">
        <v>301000</v>
      </c>
      <c r="L5" s="117">
        <v>0</v>
      </c>
      <c r="M5" s="117">
        <v>191695</v>
      </c>
      <c r="N5" s="117">
        <v>0</v>
      </c>
      <c r="O5" s="117">
        <v>6000</v>
      </c>
      <c r="P5" s="117">
        <v>1360</v>
      </c>
      <c r="Q5" s="117">
        <v>10740</v>
      </c>
      <c r="R5" s="117">
        <v>3173</v>
      </c>
      <c r="S5" s="117">
        <v>1550</v>
      </c>
      <c r="T5" s="117">
        <v>0</v>
      </c>
      <c r="U5" s="117">
        <v>481</v>
      </c>
      <c r="V5" s="117">
        <v>0</v>
      </c>
      <c r="W5" s="117">
        <v>3400</v>
      </c>
      <c r="X5" s="117">
        <v>1860</v>
      </c>
      <c r="Y5" s="117">
        <v>0</v>
      </c>
      <c r="Z5" s="117">
        <v>648</v>
      </c>
      <c r="AA5" s="117">
        <v>541</v>
      </c>
      <c r="AB5" s="117">
        <v>1164</v>
      </c>
      <c r="AC5" s="117">
        <v>1150</v>
      </c>
      <c r="AD5" s="117">
        <v>8000</v>
      </c>
      <c r="AE5" s="117">
        <v>0</v>
      </c>
      <c r="AF5" s="137"/>
      <c r="AG5" s="137"/>
      <c r="AH5" s="137"/>
      <c r="AI5" s="137"/>
      <c r="AJ5" s="137"/>
      <c r="AK5" s="137"/>
    </row>
    <row r="6" spans="1:37">
      <c r="A6" s="116" t="s">
        <v>237</v>
      </c>
      <c r="B6" s="117">
        <v>460560</v>
      </c>
      <c r="C6" s="117">
        <v>669938</v>
      </c>
      <c r="D6" s="117">
        <v>209378</v>
      </c>
      <c r="E6" s="117">
        <v>104300</v>
      </c>
      <c r="F6" s="117">
        <v>74006</v>
      </c>
      <c r="G6" s="117">
        <f t="shared" si="0"/>
        <v>30294</v>
      </c>
      <c r="H6" s="117">
        <v>53900</v>
      </c>
      <c r="I6" s="117">
        <v>47604</v>
      </c>
      <c r="J6" s="117">
        <v>50000</v>
      </c>
      <c r="K6" s="117"/>
      <c r="L6" s="117">
        <v>0</v>
      </c>
      <c r="M6" s="117">
        <v>0</v>
      </c>
      <c r="N6" s="117">
        <v>0</v>
      </c>
      <c r="O6" s="117">
        <v>3000</v>
      </c>
      <c r="P6" s="117">
        <v>46015</v>
      </c>
      <c r="Q6" s="117">
        <v>20810</v>
      </c>
      <c r="R6" s="117">
        <v>1925</v>
      </c>
      <c r="S6" s="117">
        <v>0</v>
      </c>
      <c r="T6" s="117">
        <v>0</v>
      </c>
      <c r="U6" s="117">
        <v>3845</v>
      </c>
      <c r="V6" s="117">
        <v>0</v>
      </c>
      <c r="W6" s="117">
        <v>12822</v>
      </c>
      <c r="X6" s="117">
        <v>1180</v>
      </c>
      <c r="Y6" s="117">
        <v>0</v>
      </c>
      <c r="Z6" s="117">
        <v>532</v>
      </c>
      <c r="AA6" s="117">
        <v>545</v>
      </c>
      <c r="AB6" s="117">
        <v>1247</v>
      </c>
      <c r="AC6" s="117">
        <v>1170</v>
      </c>
      <c r="AD6" s="117">
        <v>0</v>
      </c>
      <c r="AE6" s="117">
        <v>0</v>
      </c>
      <c r="AF6" s="136">
        <v>45356</v>
      </c>
      <c r="AG6" s="137"/>
      <c r="AH6" s="137"/>
      <c r="AI6" s="137"/>
      <c r="AJ6" s="137"/>
      <c r="AK6" s="137"/>
    </row>
    <row r="7" spans="1:37">
      <c r="A7" s="116" t="s">
        <v>238</v>
      </c>
      <c r="B7" s="117">
        <v>649530</v>
      </c>
      <c r="C7" s="117">
        <v>559682</v>
      </c>
      <c r="D7" s="117">
        <v>-89848</v>
      </c>
      <c r="E7" s="117">
        <v>86040</v>
      </c>
      <c r="F7" s="117">
        <v>59311</v>
      </c>
      <c r="G7" s="117">
        <f t="shared" si="0"/>
        <v>26729</v>
      </c>
      <c r="H7" s="117">
        <v>41900</v>
      </c>
      <c r="I7" s="117">
        <v>47604</v>
      </c>
      <c r="J7" s="117">
        <v>0</v>
      </c>
      <c r="K7" s="117">
        <v>215253</v>
      </c>
      <c r="L7" s="117">
        <v>0</v>
      </c>
      <c r="M7" s="117">
        <v>348037</v>
      </c>
      <c r="N7" s="117">
        <v>0</v>
      </c>
      <c r="O7" s="117">
        <v>3100</v>
      </c>
      <c r="P7" s="117">
        <v>70365</v>
      </c>
      <c r="Q7" s="117">
        <v>0</v>
      </c>
      <c r="R7" s="117">
        <v>1979</v>
      </c>
      <c r="S7" s="117">
        <v>16005</v>
      </c>
      <c r="T7" s="117">
        <v>0</v>
      </c>
      <c r="U7" s="117">
        <v>6815</v>
      </c>
      <c r="V7" s="117">
        <v>0</v>
      </c>
      <c r="W7" s="117">
        <v>2100</v>
      </c>
      <c r="X7" s="117">
        <v>1080</v>
      </c>
      <c r="Y7" s="117">
        <v>0</v>
      </c>
      <c r="Z7" s="117">
        <v>263</v>
      </c>
      <c r="AA7" s="117">
        <v>500</v>
      </c>
      <c r="AB7" s="117">
        <v>701</v>
      </c>
      <c r="AC7" s="117">
        <v>1620</v>
      </c>
      <c r="AD7" s="117">
        <v>0</v>
      </c>
      <c r="AE7" s="117">
        <v>6716</v>
      </c>
      <c r="AF7" s="136">
        <v>215253</v>
      </c>
      <c r="AG7" s="137"/>
      <c r="AH7" s="137"/>
      <c r="AI7" s="137"/>
      <c r="AJ7" s="137"/>
      <c r="AK7" s="137"/>
    </row>
    <row r="8" spans="1:37">
      <c r="A8" s="116" t="s">
        <v>239</v>
      </c>
      <c r="B8" s="117">
        <v>573190</v>
      </c>
      <c r="C8" s="117">
        <v>456633</v>
      </c>
      <c r="D8" s="117">
        <v>-116557</v>
      </c>
      <c r="E8" s="117">
        <v>71540</v>
      </c>
      <c r="F8" s="117">
        <v>39613</v>
      </c>
      <c r="G8" s="117">
        <f t="shared" si="0"/>
        <v>31927</v>
      </c>
      <c r="H8" s="117">
        <v>51050</v>
      </c>
      <c r="I8" s="117">
        <v>47269</v>
      </c>
      <c r="J8" s="117">
        <v>0</v>
      </c>
      <c r="K8" s="117">
        <v>0</v>
      </c>
      <c r="L8" s="117">
        <v>5000</v>
      </c>
      <c r="M8" s="117">
        <v>0</v>
      </c>
      <c r="N8" s="117">
        <v>0</v>
      </c>
      <c r="O8" s="117">
        <v>3100</v>
      </c>
      <c r="P8" s="117">
        <v>29680</v>
      </c>
      <c r="Q8" s="117">
        <v>0</v>
      </c>
      <c r="R8" s="117">
        <v>2511</v>
      </c>
      <c r="S8" s="117">
        <v>6730</v>
      </c>
      <c r="T8" s="117">
        <v>0</v>
      </c>
      <c r="U8" s="117">
        <v>6266</v>
      </c>
      <c r="V8" s="117">
        <v>0</v>
      </c>
      <c r="W8" s="117">
        <v>7505</v>
      </c>
      <c r="X8" s="117">
        <v>1140</v>
      </c>
      <c r="Y8" s="117">
        <v>0</v>
      </c>
      <c r="Z8" s="117">
        <v>5785</v>
      </c>
      <c r="AA8" s="117">
        <v>1000</v>
      </c>
      <c r="AB8" s="117">
        <v>1184</v>
      </c>
      <c r="AC8" s="117">
        <v>600</v>
      </c>
      <c r="AD8" s="117">
        <v>0</v>
      </c>
      <c r="AE8" s="117">
        <v>0</v>
      </c>
      <c r="AF8" s="137"/>
      <c r="AG8" s="137"/>
      <c r="AH8" s="137"/>
      <c r="AI8" s="137"/>
      <c r="AJ8" s="137"/>
      <c r="AK8" s="137"/>
    </row>
    <row r="9" spans="1:37">
      <c r="A9" s="116" t="s">
        <v>240</v>
      </c>
      <c r="B9" s="117">
        <v>0</v>
      </c>
      <c r="C9" s="117">
        <v>300478</v>
      </c>
      <c r="D9" s="117">
        <v>300478</v>
      </c>
      <c r="E9" s="117">
        <v>55740</v>
      </c>
      <c r="F9" s="117">
        <v>38322</v>
      </c>
      <c r="G9" s="117">
        <f t="shared" si="0"/>
        <v>17418</v>
      </c>
      <c r="H9" s="117">
        <v>42650</v>
      </c>
      <c r="I9" s="117">
        <v>47269</v>
      </c>
      <c r="J9" s="117">
        <v>331000</v>
      </c>
      <c r="K9" s="117">
        <v>0</v>
      </c>
      <c r="L9" s="117">
        <v>23500</v>
      </c>
      <c r="M9" s="117">
        <v>0</v>
      </c>
      <c r="N9" s="117">
        <v>0</v>
      </c>
      <c r="O9" s="117">
        <v>0</v>
      </c>
      <c r="P9" s="117">
        <v>13749</v>
      </c>
      <c r="Q9" s="117">
        <v>24445</v>
      </c>
      <c r="R9" s="117">
        <v>2209</v>
      </c>
      <c r="S9" s="117">
        <v>1000</v>
      </c>
      <c r="T9" s="117">
        <v>0</v>
      </c>
      <c r="U9" s="117">
        <v>1415</v>
      </c>
      <c r="V9" s="117">
        <v>0</v>
      </c>
      <c r="W9" s="117">
        <v>1500</v>
      </c>
      <c r="X9" s="117">
        <v>700</v>
      </c>
      <c r="Y9" s="117">
        <v>0</v>
      </c>
      <c r="Z9" s="117">
        <v>5697</v>
      </c>
      <c r="AA9" s="117">
        <v>1000</v>
      </c>
      <c r="AB9" s="117">
        <v>3298</v>
      </c>
      <c r="AC9" s="117">
        <v>2263</v>
      </c>
      <c r="AD9" s="117">
        <v>0</v>
      </c>
      <c r="AE9" s="117">
        <v>0</v>
      </c>
      <c r="AF9" s="137"/>
      <c r="AG9" s="137"/>
      <c r="AH9" s="137"/>
      <c r="AI9" s="137"/>
      <c r="AJ9" s="137"/>
      <c r="AK9" s="137"/>
    </row>
    <row r="10" spans="1:37">
      <c r="A10" s="116" t="s">
        <v>241</v>
      </c>
      <c r="B10" s="117">
        <v>976410</v>
      </c>
      <c r="C10" s="117">
        <v>321445</v>
      </c>
      <c r="D10" s="117">
        <v>-654965</v>
      </c>
      <c r="E10" s="117">
        <v>43360</v>
      </c>
      <c r="F10" s="117">
        <v>24468</v>
      </c>
      <c r="G10" s="117">
        <f t="shared" si="0"/>
        <v>18892</v>
      </c>
      <c r="H10" s="117">
        <v>44650</v>
      </c>
      <c r="I10" s="117">
        <v>47604</v>
      </c>
      <c r="J10" s="117">
        <v>0</v>
      </c>
      <c r="K10" s="117">
        <v>101500</v>
      </c>
      <c r="L10" s="117">
        <v>0</v>
      </c>
      <c r="M10" s="117">
        <v>0</v>
      </c>
      <c r="N10" s="117">
        <v>0</v>
      </c>
      <c r="O10" s="117">
        <v>3000</v>
      </c>
      <c r="P10" s="117">
        <v>16875</v>
      </c>
      <c r="Q10" s="117">
        <v>15945</v>
      </c>
      <c r="R10" s="117">
        <v>3318</v>
      </c>
      <c r="S10" s="117">
        <v>6420</v>
      </c>
      <c r="T10" s="117"/>
      <c r="U10" s="117">
        <v>4120</v>
      </c>
      <c r="V10" s="117">
        <v>0</v>
      </c>
      <c r="W10" s="117">
        <v>5100</v>
      </c>
      <c r="X10" s="117">
        <v>740</v>
      </c>
      <c r="Y10" s="117">
        <v>0</v>
      </c>
      <c r="Z10" s="117">
        <v>624</v>
      </c>
      <c r="AA10" s="117">
        <v>500</v>
      </c>
      <c r="AB10" s="117">
        <v>1678</v>
      </c>
      <c r="AC10" s="117">
        <v>1200</v>
      </c>
      <c r="AD10" s="117">
        <v>0</v>
      </c>
      <c r="AE10" s="117">
        <v>9600</v>
      </c>
      <c r="AF10" s="136">
        <v>0</v>
      </c>
      <c r="AG10" s="136">
        <v>110000</v>
      </c>
      <c r="AH10" s="136">
        <v>0</v>
      </c>
      <c r="AI10" s="136">
        <v>0</v>
      </c>
      <c r="AJ10" s="136">
        <v>0</v>
      </c>
      <c r="AK10" s="136">
        <v>0</v>
      </c>
    </row>
    <row r="11" spans="1:37">
      <c r="A11" s="116" t="s">
        <v>242</v>
      </c>
      <c r="B11" s="117">
        <v>353180</v>
      </c>
      <c r="C11" s="117">
        <v>213568</v>
      </c>
      <c r="D11" s="117">
        <v>-139612</v>
      </c>
      <c r="E11" s="117">
        <v>29840</v>
      </c>
      <c r="F11" s="117">
        <v>36337</v>
      </c>
      <c r="G11" s="117">
        <f t="shared" si="0"/>
        <v>-6497</v>
      </c>
      <c r="H11" s="117">
        <v>47150</v>
      </c>
      <c r="I11" s="117"/>
      <c r="J11" s="117">
        <v>0</v>
      </c>
      <c r="K11" s="117">
        <v>0</v>
      </c>
      <c r="L11" s="117">
        <v>27650</v>
      </c>
      <c r="M11" s="117">
        <v>0</v>
      </c>
      <c r="N11" s="117">
        <v>2000</v>
      </c>
      <c r="O11" s="117">
        <v>2000</v>
      </c>
      <c r="P11" s="117">
        <v>51861</v>
      </c>
      <c r="Q11" s="117">
        <v>26477</v>
      </c>
      <c r="R11" s="117">
        <v>2344</v>
      </c>
      <c r="S11" s="117">
        <v>4470</v>
      </c>
      <c r="T11" s="117"/>
      <c r="U11" s="117">
        <v>820</v>
      </c>
      <c r="V11" s="117">
        <v>0</v>
      </c>
      <c r="W11" s="117">
        <v>4310</v>
      </c>
      <c r="X11" s="117">
        <v>5000</v>
      </c>
      <c r="Y11" s="117">
        <v>0</v>
      </c>
      <c r="Z11" s="117">
        <v>916</v>
      </c>
      <c r="AA11" s="117">
        <v>500</v>
      </c>
      <c r="AB11" s="117">
        <v>5210</v>
      </c>
      <c r="AC11" s="117">
        <v>1150</v>
      </c>
      <c r="AD11" s="117">
        <v>0</v>
      </c>
      <c r="AE11" s="117">
        <v>1384</v>
      </c>
      <c r="AF11" s="136">
        <v>0</v>
      </c>
      <c r="AG11" s="136">
        <v>70000</v>
      </c>
      <c r="AH11" s="136">
        <v>0</v>
      </c>
      <c r="AI11" s="136">
        <v>0</v>
      </c>
      <c r="AJ11" s="136">
        <v>50000</v>
      </c>
      <c r="AK11" s="136">
        <v>0</v>
      </c>
    </row>
    <row r="12" spans="1:37">
      <c r="A12" s="116" t="s">
        <v>243</v>
      </c>
      <c r="B12" s="117">
        <v>116430</v>
      </c>
      <c r="C12" s="117">
        <v>266495</v>
      </c>
      <c r="D12" s="117">
        <v>150065</v>
      </c>
      <c r="E12" s="117">
        <v>45320</v>
      </c>
      <c r="F12" s="117">
        <v>42695</v>
      </c>
      <c r="G12" s="117">
        <f t="shared" si="0"/>
        <v>2625</v>
      </c>
      <c r="H12" s="117">
        <v>46150</v>
      </c>
      <c r="I12" s="117">
        <v>47269</v>
      </c>
      <c r="J12" s="117">
        <v>0</v>
      </c>
      <c r="K12" s="117">
        <v>0</v>
      </c>
      <c r="L12" s="117">
        <v>0</v>
      </c>
      <c r="M12" s="117">
        <v>0</v>
      </c>
      <c r="N12" s="117">
        <v>0</v>
      </c>
      <c r="O12" s="117">
        <v>4600</v>
      </c>
      <c r="P12" s="117">
        <v>36447</v>
      </c>
      <c r="Q12" s="117">
        <v>24093</v>
      </c>
      <c r="R12" s="117">
        <v>3068</v>
      </c>
      <c r="S12" s="117">
        <v>0</v>
      </c>
      <c r="T12" s="117"/>
      <c r="U12" s="117">
        <v>0</v>
      </c>
      <c r="V12" s="117">
        <v>0</v>
      </c>
      <c r="W12" s="117">
        <v>6064</v>
      </c>
      <c r="X12" s="117">
        <v>5000</v>
      </c>
      <c r="Y12" s="117">
        <v>0</v>
      </c>
      <c r="Z12" s="117">
        <v>302</v>
      </c>
      <c r="AA12" s="117">
        <v>500</v>
      </c>
      <c r="AB12" s="117">
        <v>2490</v>
      </c>
      <c r="AC12" s="117">
        <v>650</v>
      </c>
      <c r="AD12" s="117">
        <v>0</v>
      </c>
      <c r="AE12" s="117">
        <v>5557</v>
      </c>
      <c r="AF12" s="136">
        <v>254438</v>
      </c>
      <c r="AG12" s="136">
        <v>200000</v>
      </c>
      <c r="AH12" s="137"/>
      <c r="AI12" s="136">
        <v>39887</v>
      </c>
      <c r="AJ12" s="136">
        <v>50000</v>
      </c>
      <c r="AK12" s="136">
        <v>4000</v>
      </c>
    </row>
    <row r="13" spans="1:37">
      <c r="A13" s="116" t="s">
        <v>244</v>
      </c>
      <c r="B13" s="117">
        <v>520740</v>
      </c>
      <c r="C13" s="117">
        <v>253978</v>
      </c>
      <c r="D13" s="117">
        <v>-266762</v>
      </c>
      <c r="E13" s="117">
        <v>57620</v>
      </c>
      <c r="F13" s="117">
        <v>40039</v>
      </c>
      <c r="G13" s="117">
        <f t="shared" si="0"/>
        <v>17581</v>
      </c>
      <c r="H13" s="117">
        <v>52450</v>
      </c>
      <c r="I13" s="117">
        <v>63800</v>
      </c>
      <c r="J13" s="117">
        <v>0</v>
      </c>
      <c r="K13" s="117">
        <v>143500</v>
      </c>
      <c r="L13" s="117">
        <v>69206</v>
      </c>
      <c r="M13" s="117">
        <v>0</v>
      </c>
      <c r="N13" s="117">
        <v>0</v>
      </c>
      <c r="O13" s="117">
        <v>0</v>
      </c>
      <c r="P13" s="117">
        <v>11630</v>
      </c>
      <c r="Q13" s="117">
        <v>28783</v>
      </c>
      <c r="R13" s="117">
        <v>2641</v>
      </c>
      <c r="S13" s="117">
        <v>2600</v>
      </c>
      <c r="T13" s="117"/>
      <c r="U13" s="117">
        <v>2000</v>
      </c>
      <c r="V13" s="117">
        <v>0</v>
      </c>
      <c r="W13" s="117">
        <v>12722</v>
      </c>
      <c r="X13" s="117">
        <v>10000</v>
      </c>
      <c r="Y13" s="117">
        <v>0</v>
      </c>
      <c r="Z13" s="117">
        <v>664</v>
      </c>
      <c r="AA13" s="117">
        <v>500</v>
      </c>
      <c r="AB13" s="117">
        <v>3218</v>
      </c>
      <c r="AC13" s="117">
        <v>850</v>
      </c>
      <c r="AD13" s="117">
        <v>0</v>
      </c>
      <c r="AE13" s="117">
        <v>0</v>
      </c>
      <c r="AF13" s="117">
        <v>29130</v>
      </c>
      <c r="AG13" s="136">
        <v>300000</v>
      </c>
      <c r="AH13" s="136">
        <v>198020</v>
      </c>
      <c r="AI13" s="137">
        <v>11029</v>
      </c>
      <c r="AJ13" s="137"/>
      <c r="AK13" s="137"/>
    </row>
    <row r="14" spans="1:37">
      <c r="A14" s="116" t="s">
        <v>249</v>
      </c>
      <c r="B14" s="117">
        <v>554650</v>
      </c>
      <c r="C14" s="117">
        <v>333780</v>
      </c>
      <c r="D14" s="117">
        <v>-220870</v>
      </c>
      <c r="E14" s="117">
        <v>37920</v>
      </c>
      <c r="F14" s="117">
        <v>40439</v>
      </c>
      <c r="G14" s="117">
        <f t="shared" si="0"/>
        <v>-2519</v>
      </c>
      <c r="H14" s="117">
        <v>39850</v>
      </c>
      <c r="I14" s="117"/>
      <c r="J14" s="117">
        <v>0</v>
      </c>
      <c r="K14" s="117">
        <v>0</v>
      </c>
      <c r="L14" s="117">
        <v>0</v>
      </c>
      <c r="M14" s="117">
        <v>0</v>
      </c>
      <c r="N14" s="117">
        <v>0</v>
      </c>
      <c r="O14" s="117">
        <v>5000</v>
      </c>
      <c r="P14" s="117">
        <v>16455</v>
      </c>
      <c r="Q14" s="117">
        <v>0</v>
      </c>
      <c r="R14" s="117">
        <v>3005</v>
      </c>
      <c r="S14" s="117">
        <v>10900</v>
      </c>
      <c r="T14" s="117">
        <v>0</v>
      </c>
      <c r="U14" s="117">
        <v>1100</v>
      </c>
      <c r="V14" s="117">
        <v>0</v>
      </c>
      <c r="W14" s="117">
        <v>700</v>
      </c>
      <c r="X14" s="117">
        <v>0</v>
      </c>
      <c r="Y14" s="117">
        <v>0</v>
      </c>
      <c r="Z14" s="117">
        <v>658</v>
      </c>
      <c r="AA14" s="117">
        <v>500</v>
      </c>
      <c r="AB14" s="117">
        <v>866</v>
      </c>
      <c r="AC14" s="117">
        <v>1100</v>
      </c>
      <c r="AD14" s="117">
        <v>0</v>
      </c>
      <c r="AE14" s="117">
        <v>5686</v>
      </c>
      <c r="AF14" s="117">
        <v>4329</v>
      </c>
      <c r="AG14" s="137">
        <v>0</v>
      </c>
      <c r="AH14" s="117">
        <v>24440</v>
      </c>
      <c r="AI14" s="137">
        <v>0</v>
      </c>
      <c r="AJ14" s="137">
        <v>0</v>
      </c>
      <c r="AK14" s="137">
        <v>0</v>
      </c>
    </row>
    <row r="15" spans="1:37">
      <c r="A15" s="117"/>
      <c r="B15" s="115">
        <f>SUM(B3:B14)</f>
        <v>5568930</v>
      </c>
      <c r="C15" s="115">
        <f t="shared" ref="C15:AK15" si="1">SUM(C3:C14)</f>
        <v>4616423</v>
      </c>
      <c r="D15" s="115">
        <f t="shared" si="1"/>
        <v>-952507</v>
      </c>
      <c r="E15" s="115">
        <f t="shared" si="1"/>
        <v>712540</v>
      </c>
      <c r="F15" s="115">
        <f t="shared" si="1"/>
        <v>571335</v>
      </c>
      <c r="G15" s="115">
        <f t="shared" si="1"/>
        <v>141205</v>
      </c>
      <c r="H15" s="115">
        <f t="shared" si="1"/>
        <v>549450</v>
      </c>
      <c r="I15" s="115">
        <f t="shared" si="1"/>
        <v>491231</v>
      </c>
      <c r="J15" s="115">
        <f t="shared" si="1"/>
        <v>381000</v>
      </c>
      <c r="K15" s="115">
        <f t="shared" si="1"/>
        <v>761253</v>
      </c>
      <c r="L15" s="115">
        <f t="shared" si="1"/>
        <v>133356</v>
      </c>
      <c r="M15" s="115">
        <f t="shared" si="1"/>
        <v>558272</v>
      </c>
      <c r="N15" s="115">
        <f t="shared" si="1"/>
        <v>2000</v>
      </c>
      <c r="O15" s="115">
        <f t="shared" si="1"/>
        <v>40400</v>
      </c>
      <c r="P15" s="115">
        <f t="shared" si="1"/>
        <v>509070</v>
      </c>
      <c r="Q15" s="115">
        <f t="shared" si="1"/>
        <v>151293</v>
      </c>
      <c r="R15" s="115">
        <f t="shared" si="1"/>
        <v>30833</v>
      </c>
      <c r="S15" s="115">
        <f t="shared" si="1"/>
        <v>54275</v>
      </c>
      <c r="T15" s="115">
        <f t="shared" si="1"/>
        <v>0</v>
      </c>
      <c r="U15" s="115">
        <f t="shared" si="1"/>
        <v>27833</v>
      </c>
      <c r="V15" s="115">
        <f t="shared" si="1"/>
        <v>0</v>
      </c>
      <c r="W15" s="115">
        <f t="shared" si="1"/>
        <v>87278</v>
      </c>
      <c r="X15" s="115">
        <f t="shared" si="1"/>
        <v>28470</v>
      </c>
      <c r="Y15" s="115">
        <f t="shared" si="1"/>
        <v>2000</v>
      </c>
      <c r="Z15" s="115">
        <f t="shared" si="1"/>
        <v>16921</v>
      </c>
      <c r="AA15" s="115">
        <f t="shared" si="1"/>
        <v>7086</v>
      </c>
      <c r="AB15" s="115">
        <f t="shared" si="1"/>
        <v>27011</v>
      </c>
      <c r="AC15" s="115">
        <f t="shared" si="1"/>
        <v>17111</v>
      </c>
      <c r="AD15" s="115">
        <f t="shared" si="1"/>
        <v>8000</v>
      </c>
      <c r="AE15" s="115">
        <f t="shared" si="1"/>
        <v>28943</v>
      </c>
      <c r="AF15" s="115">
        <f t="shared" si="1"/>
        <v>548506</v>
      </c>
      <c r="AG15" s="115">
        <f t="shared" si="1"/>
        <v>680000</v>
      </c>
      <c r="AH15" s="115">
        <f t="shared" si="1"/>
        <v>222460</v>
      </c>
      <c r="AI15" s="115">
        <f t="shared" si="1"/>
        <v>50916</v>
      </c>
      <c r="AJ15" s="115">
        <f t="shared" si="1"/>
        <v>100000</v>
      </c>
      <c r="AK15" s="115">
        <f t="shared" si="1"/>
        <v>4000</v>
      </c>
    </row>
    <row r="17" spans="5:5">
      <c r="E17">
        <f>(E15-F15)</f>
        <v>141205</v>
      </c>
    </row>
  </sheetData>
  <pageMargins left="0.7" right="0.7" top="0.75" bottom="0.75" header="0.3" footer="0.3"/>
  <pageSetup scale="80" fitToHeight="5" orientation="landscape" horizontalDpi="4294967293" verticalDpi="4294967293"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14"/>
  <sheetViews>
    <sheetView topLeftCell="E1" workbookViewId="0">
      <selection sqref="A1:R14"/>
    </sheetView>
  </sheetViews>
  <sheetFormatPr defaultRowHeight="15"/>
  <cols>
    <col min="1" max="1" width="9.7109375" customWidth="1"/>
    <col min="2" max="2" width="10.140625" customWidth="1"/>
    <col min="3" max="3" width="10.5703125" customWidth="1"/>
    <col min="4" max="4" width="10.85546875" customWidth="1"/>
    <col min="8" max="8" width="11.42578125" customWidth="1"/>
    <col min="9" max="9" width="13.5703125" customWidth="1"/>
    <col min="10" max="10" width="12.28515625" customWidth="1"/>
    <col min="13" max="13" width="13.140625" customWidth="1"/>
    <col min="14" max="14" width="12.28515625" customWidth="1"/>
    <col min="15" max="15" width="10.28515625" customWidth="1"/>
    <col min="17" max="17" width="12.5703125" customWidth="1"/>
    <col min="18" max="18" width="13.140625" bestFit="1" customWidth="1"/>
  </cols>
  <sheetData>
    <row r="1" spans="1:18" ht="15.75" thickBot="1">
      <c r="A1" s="118" t="s">
        <v>22</v>
      </c>
      <c r="B1" s="119" t="s">
        <v>71</v>
      </c>
      <c r="C1" s="119" t="s">
        <v>72</v>
      </c>
      <c r="D1" s="119" t="s">
        <v>231</v>
      </c>
      <c r="E1" s="119" t="s">
        <v>78</v>
      </c>
      <c r="F1" s="119" t="s">
        <v>76</v>
      </c>
      <c r="G1" s="119" t="s">
        <v>79</v>
      </c>
      <c r="H1" s="119" t="s">
        <v>275</v>
      </c>
      <c r="I1" s="119" t="s">
        <v>232</v>
      </c>
      <c r="J1" s="119" t="s">
        <v>273</v>
      </c>
      <c r="K1" s="119" t="s">
        <v>59</v>
      </c>
      <c r="L1" s="120" t="s">
        <v>276</v>
      </c>
      <c r="M1" s="119" t="s">
        <v>75</v>
      </c>
      <c r="N1" s="121" t="s">
        <v>250</v>
      </c>
      <c r="O1" s="122" t="s">
        <v>73</v>
      </c>
      <c r="P1" s="145" t="s">
        <v>77</v>
      </c>
      <c r="Q1" s="115" t="s">
        <v>274</v>
      </c>
      <c r="R1" s="146" t="s">
        <v>211</v>
      </c>
    </row>
    <row r="2" spans="1:18" ht="15.75" thickBot="1">
      <c r="A2" s="125" t="s">
        <v>234</v>
      </c>
      <c r="B2" s="126">
        <v>254600</v>
      </c>
      <c r="C2" s="126">
        <v>187069</v>
      </c>
      <c r="D2" s="127">
        <v>8000</v>
      </c>
      <c r="E2" s="127">
        <v>0</v>
      </c>
      <c r="F2" s="126">
        <v>10000</v>
      </c>
      <c r="G2" s="126">
        <v>800</v>
      </c>
      <c r="H2" s="126">
        <v>228</v>
      </c>
      <c r="I2" s="126">
        <v>5900</v>
      </c>
      <c r="J2" s="126">
        <v>0</v>
      </c>
      <c r="K2" s="117">
        <v>3840</v>
      </c>
      <c r="L2" s="117">
        <v>0</v>
      </c>
      <c r="M2" s="126">
        <v>4000</v>
      </c>
      <c r="N2" s="126">
        <v>31500</v>
      </c>
      <c r="O2" s="126">
        <v>59500</v>
      </c>
      <c r="P2" s="128">
        <v>0</v>
      </c>
      <c r="Q2" s="129"/>
      <c r="R2" s="129">
        <f>SUM(B2:Q2)</f>
        <v>565437</v>
      </c>
    </row>
    <row r="3" spans="1:18" ht="15.75" thickBot="1">
      <c r="A3" s="125" t="s">
        <v>235</v>
      </c>
      <c r="B3" s="117">
        <v>1693700</v>
      </c>
      <c r="C3" s="117">
        <v>354357</v>
      </c>
      <c r="D3" s="117">
        <v>8000</v>
      </c>
      <c r="E3" s="117">
        <v>13000</v>
      </c>
      <c r="F3" s="117">
        <v>5000</v>
      </c>
      <c r="G3" s="117">
        <v>300</v>
      </c>
      <c r="H3" s="117">
        <v>0</v>
      </c>
      <c r="I3" s="117">
        <v>5200</v>
      </c>
      <c r="J3" s="117">
        <v>0</v>
      </c>
      <c r="K3" s="117">
        <v>3920</v>
      </c>
      <c r="L3" s="117">
        <v>0</v>
      </c>
      <c r="M3" s="117">
        <v>0</v>
      </c>
      <c r="N3" s="117">
        <v>17500</v>
      </c>
      <c r="O3" s="117">
        <v>175000</v>
      </c>
      <c r="P3" s="128">
        <v>50000</v>
      </c>
      <c r="Q3" s="129"/>
      <c r="R3" s="129">
        <f t="shared" ref="R3:R13" si="0">SUM(B3:Q3)</f>
        <v>2325977</v>
      </c>
    </row>
    <row r="4" spans="1:18" ht="15.75" thickBot="1">
      <c r="A4" s="125" t="s">
        <v>236</v>
      </c>
      <c r="B4" s="117">
        <v>487600</v>
      </c>
      <c r="C4" s="117">
        <v>511154</v>
      </c>
      <c r="D4" s="117">
        <v>8000</v>
      </c>
      <c r="E4" s="117">
        <v>0</v>
      </c>
      <c r="F4" s="117">
        <v>5000</v>
      </c>
      <c r="G4" s="117">
        <v>700</v>
      </c>
      <c r="H4" s="117">
        <v>228</v>
      </c>
      <c r="I4" s="117">
        <v>5000</v>
      </c>
      <c r="J4" s="117">
        <v>0</v>
      </c>
      <c r="K4" s="117">
        <v>4920</v>
      </c>
      <c r="L4" s="117">
        <v>0</v>
      </c>
      <c r="M4" s="117">
        <v>0</v>
      </c>
      <c r="N4" s="117">
        <v>7000</v>
      </c>
      <c r="O4" s="117">
        <v>70000</v>
      </c>
      <c r="P4" s="128">
        <v>0</v>
      </c>
      <c r="Q4" s="129"/>
      <c r="R4" s="129">
        <f t="shared" si="0"/>
        <v>1099602</v>
      </c>
    </row>
    <row r="5" spans="1:18" ht="15.75" thickBot="1">
      <c r="A5" s="125" t="s">
        <v>237</v>
      </c>
      <c r="B5" s="117">
        <v>247800</v>
      </c>
      <c r="C5" s="117">
        <v>788688</v>
      </c>
      <c r="D5" s="117">
        <v>8000</v>
      </c>
      <c r="E5" s="117">
        <v>0</v>
      </c>
      <c r="F5" s="117">
        <v>0</v>
      </c>
      <c r="G5" s="117">
        <v>2596</v>
      </c>
      <c r="H5" s="117">
        <v>228</v>
      </c>
      <c r="I5" s="117">
        <v>6400</v>
      </c>
      <c r="J5" s="117">
        <v>0</v>
      </c>
      <c r="K5" s="117">
        <v>4440</v>
      </c>
      <c r="L5" s="117">
        <v>0</v>
      </c>
      <c r="M5" s="117">
        <v>0</v>
      </c>
      <c r="N5" s="117">
        <v>42000</v>
      </c>
      <c r="O5" s="117">
        <v>24500</v>
      </c>
      <c r="P5" s="128">
        <v>0</v>
      </c>
      <c r="Q5" s="129"/>
      <c r="R5" s="129">
        <f t="shared" si="0"/>
        <v>1124652</v>
      </c>
    </row>
    <row r="6" spans="1:18" ht="15.75" thickBot="1">
      <c r="A6" s="125" t="s">
        <v>238</v>
      </c>
      <c r="B6" s="117">
        <v>140300</v>
      </c>
      <c r="C6" s="117">
        <v>541052</v>
      </c>
      <c r="D6" s="117">
        <v>8000</v>
      </c>
      <c r="E6" s="117">
        <v>0</v>
      </c>
      <c r="F6" s="117">
        <v>0</v>
      </c>
      <c r="G6" s="117">
        <v>962</v>
      </c>
      <c r="H6" s="117">
        <v>228</v>
      </c>
      <c r="I6" s="117">
        <v>5800</v>
      </c>
      <c r="J6" s="117">
        <v>0</v>
      </c>
      <c r="K6" s="117">
        <v>4520</v>
      </c>
      <c r="L6" s="117">
        <v>0</v>
      </c>
      <c r="M6" s="117">
        <v>0</v>
      </c>
      <c r="N6" s="117">
        <v>3762</v>
      </c>
      <c r="O6" s="117">
        <v>17500</v>
      </c>
      <c r="P6" s="128">
        <v>0</v>
      </c>
      <c r="Q6" s="129"/>
      <c r="R6" s="129">
        <f t="shared" si="0"/>
        <v>722124</v>
      </c>
    </row>
    <row r="7" spans="1:18" ht="15.75" thickBot="1">
      <c r="A7" s="125" t="s">
        <v>239</v>
      </c>
      <c r="B7" s="117">
        <v>209460</v>
      </c>
      <c r="C7" s="117">
        <v>569143</v>
      </c>
      <c r="D7" s="117">
        <v>8000</v>
      </c>
      <c r="E7" s="117">
        <v>2000</v>
      </c>
      <c r="F7" s="117">
        <v>0</v>
      </c>
      <c r="G7" s="117">
        <v>4487</v>
      </c>
      <c r="H7" s="117">
        <v>16195</v>
      </c>
      <c r="I7" s="117">
        <v>6200</v>
      </c>
      <c r="J7" s="117">
        <v>0</v>
      </c>
      <c r="K7" s="117">
        <v>4360</v>
      </c>
      <c r="L7" s="117">
        <v>0</v>
      </c>
      <c r="M7" s="117">
        <v>0</v>
      </c>
      <c r="N7" s="117">
        <v>7000</v>
      </c>
      <c r="O7" s="117">
        <v>31500</v>
      </c>
      <c r="P7" s="128">
        <v>50000</v>
      </c>
      <c r="Q7" s="129"/>
      <c r="R7" s="129">
        <f t="shared" si="0"/>
        <v>908345</v>
      </c>
    </row>
    <row r="8" spans="1:18" ht="15.75" thickBot="1">
      <c r="A8" s="125" t="s">
        <v>240</v>
      </c>
      <c r="B8" s="117">
        <v>112300</v>
      </c>
      <c r="C8" s="117">
        <v>462021</v>
      </c>
      <c r="D8" s="117">
        <v>8000</v>
      </c>
      <c r="E8" s="117">
        <v>0</v>
      </c>
      <c r="F8" s="117">
        <v>10000</v>
      </c>
      <c r="G8" s="117">
        <v>1000</v>
      </c>
      <c r="H8" s="117">
        <v>0</v>
      </c>
      <c r="I8" s="117">
        <v>4400</v>
      </c>
      <c r="J8" s="117">
        <v>17352</v>
      </c>
      <c r="K8" s="117">
        <v>4320</v>
      </c>
      <c r="L8" s="117">
        <v>0</v>
      </c>
      <c r="M8" s="117">
        <v>4000</v>
      </c>
      <c r="N8" s="117">
        <v>0</v>
      </c>
      <c r="O8" s="117">
        <v>0</v>
      </c>
      <c r="P8" s="128">
        <v>0</v>
      </c>
      <c r="Q8" s="129"/>
      <c r="R8" s="129">
        <f t="shared" si="0"/>
        <v>623393</v>
      </c>
    </row>
    <row r="9" spans="1:18" ht="15.75" thickBot="1">
      <c r="A9" s="125" t="s">
        <v>241</v>
      </c>
      <c r="B9" s="117">
        <v>237500</v>
      </c>
      <c r="C9" s="117">
        <v>349921</v>
      </c>
      <c r="D9" s="117">
        <v>16000</v>
      </c>
      <c r="E9" s="117">
        <v>8500</v>
      </c>
      <c r="F9" s="117">
        <v>1000</v>
      </c>
      <c r="G9" s="117">
        <v>14408</v>
      </c>
      <c r="H9" s="117">
        <v>0</v>
      </c>
      <c r="I9" s="117">
        <v>7500</v>
      </c>
      <c r="J9" s="117">
        <v>0</v>
      </c>
      <c r="K9" s="117">
        <v>5160</v>
      </c>
      <c r="L9" s="117">
        <v>0</v>
      </c>
      <c r="M9" s="117">
        <v>4000</v>
      </c>
      <c r="N9" s="117">
        <v>14000</v>
      </c>
      <c r="O9" s="117">
        <v>31500</v>
      </c>
      <c r="P9" s="128"/>
      <c r="Q9" s="129">
        <v>294000</v>
      </c>
      <c r="R9" s="129">
        <f t="shared" si="0"/>
        <v>983489</v>
      </c>
    </row>
    <row r="10" spans="1:18" ht="15.75" thickBot="1">
      <c r="A10" s="125" t="s">
        <v>242</v>
      </c>
      <c r="B10" s="117">
        <v>83900</v>
      </c>
      <c r="C10" s="117">
        <v>211526</v>
      </c>
      <c r="D10" s="117">
        <v>0</v>
      </c>
      <c r="E10" s="117">
        <v>0</v>
      </c>
      <c r="F10" s="117">
        <v>5000</v>
      </c>
      <c r="G10" s="117">
        <v>1715</v>
      </c>
      <c r="H10" s="117">
        <v>8645</v>
      </c>
      <c r="I10" s="117">
        <v>30300</v>
      </c>
      <c r="J10" s="117">
        <v>0</v>
      </c>
      <c r="K10" s="117">
        <v>4800</v>
      </c>
      <c r="L10" s="117">
        <v>0</v>
      </c>
      <c r="M10" s="117">
        <v>0</v>
      </c>
      <c r="N10" s="117">
        <v>150500</v>
      </c>
      <c r="O10" s="117">
        <v>7000</v>
      </c>
      <c r="P10" s="128">
        <v>0</v>
      </c>
      <c r="Q10" s="129">
        <v>372500</v>
      </c>
      <c r="R10" s="129">
        <f t="shared" si="0"/>
        <v>875886</v>
      </c>
    </row>
    <row r="11" spans="1:18" ht="15.75" thickBot="1">
      <c r="A11" s="125" t="s">
        <v>243</v>
      </c>
      <c r="B11" s="117">
        <v>107900</v>
      </c>
      <c r="C11" s="117">
        <v>473595</v>
      </c>
      <c r="D11" s="117">
        <v>8000</v>
      </c>
      <c r="E11" s="117">
        <v>0</v>
      </c>
      <c r="F11" s="117">
        <v>10000</v>
      </c>
      <c r="G11" s="117">
        <v>2296</v>
      </c>
      <c r="H11" s="117">
        <v>1056</v>
      </c>
      <c r="I11" s="117">
        <v>9000</v>
      </c>
      <c r="J11" s="117">
        <v>0</v>
      </c>
      <c r="K11" s="117">
        <v>4560</v>
      </c>
      <c r="L11" s="117">
        <v>0</v>
      </c>
      <c r="M11" s="117">
        <v>4000</v>
      </c>
      <c r="N11" s="117">
        <v>157500</v>
      </c>
      <c r="O11" s="117">
        <v>0</v>
      </c>
      <c r="P11" s="128">
        <v>0</v>
      </c>
      <c r="Q11" s="129">
        <v>84000</v>
      </c>
      <c r="R11" s="129">
        <f t="shared" si="0"/>
        <v>861907</v>
      </c>
    </row>
    <row r="12" spans="1:18" ht="15.75" thickBot="1">
      <c r="A12" s="125" t="s">
        <v>244</v>
      </c>
      <c r="B12" s="117">
        <v>136700</v>
      </c>
      <c r="C12" s="117">
        <v>356824</v>
      </c>
      <c r="D12" s="117">
        <v>8000</v>
      </c>
      <c r="E12" s="117">
        <v>8000</v>
      </c>
      <c r="F12" s="117">
        <v>10000</v>
      </c>
      <c r="G12" s="117">
        <v>2300</v>
      </c>
      <c r="H12" s="117">
        <v>0</v>
      </c>
      <c r="I12" s="117">
        <v>8900</v>
      </c>
      <c r="J12" s="117">
        <v>39983</v>
      </c>
      <c r="K12" s="117">
        <v>4800</v>
      </c>
      <c r="L12" s="117">
        <v>0</v>
      </c>
      <c r="M12" s="117">
        <v>0</v>
      </c>
      <c r="N12" s="117">
        <v>49000</v>
      </c>
      <c r="O12" s="117">
        <v>0</v>
      </c>
      <c r="P12" s="128">
        <v>50000</v>
      </c>
      <c r="Q12" s="129">
        <v>35000</v>
      </c>
      <c r="R12" s="129">
        <f t="shared" si="0"/>
        <v>709507</v>
      </c>
    </row>
    <row r="13" spans="1:18" ht="15.75" thickBot="1">
      <c r="A13" s="125" t="s">
        <v>249</v>
      </c>
      <c r="B13" s="141">
        <v>97100</v>
      </c>
      <c r="C13" s="141">
        <v>246719</v>
      </c>
      <c r="D13" s="141">
        <v>8000</v>
      </c>
      <c r="E13" s="141">
        <v>0</v>
      </c>
      <c r="F13" s="141">
        <v>0</v>
      </c>
      <c r="G13" s="141">
        <v>600</v>
      </c>
      <c r="H13" s="141">
        <v>0</v>
      </c>
      <c r="I13" s="141">
        <v>8000</v>
      </c>
      <c r="J13" s="141">
        <v>0</v>
      </c>
      <c r="K13" s="117">
        <v>4480</v>
      </c>
      <c r="L13" s="117">
        <v>19599</v>
      </c>
      <c r="M13" s="117">
        <v>4000</v>
      </c>
      <c r="N13" s="117">
        <v>42000</v>
      </c>
      <c r="O13" s="117">
        <v>0</v>
      </c>
      <c r="P13" s="128">
        <v>0</v>
      </c>
      <c r="Q13" s="129">
        <v>42000</v>
      </c>
      <c r="R13" s="129">
        <f t="shared" si="0"/>
        <v>472498</v>
      </c>
    </row>
    <row r="14" spans="1:18" ht="16.5" thickBot="1">
      <c r="A14" s="151" t="s">
        <v>20</v>
      </c>
      <c r="B14" s="147">
        <f>SUM(B2:B13)</f>
        <v>3808860</v>
      </c>
      <c r="C14" s="147">
        <f t="shared" ref="C14:O14" si="1">SUM(C2:C13)</f>
        <v>5052069</v>
      </c>
      <c r="D14" s="147">
        <f t="shared" si="1"/>
        <v>96000</v>
      </c>
      <c r="E14" s="147">
        <f t="shared" si="1"/>
        <v>31500</v>
      </c>
      <c r="F14" s="147">
        <f t="shared" si="1"/>
        <v>56000</v>
      </c>
      <c r="G14" s="147">
        <f t="shared" si="1"/>
        <v>32164</v>
      </c>
      <c r="H14" s="147">
        <f t="shared" si="1"/>
        <v>26808</v>
      </c>
      <c r="I14" s="147">
        <f>SUM(I2:I13)</f>
        <v>102600</v>
      </c>
      <c r="J14" s="147">
        <f t="shared" si="1"/>
        <v>57335</v>
      </c>
      <c r="K14" s="147">
        <f t="shared" si="1"/>
        <v>54120</v>
      </c>
      <c r="L14" s="147">
        <f t="shared" si="1"/>
        <v>19599</v>
      </c>
      <c r="M14" s="148">
        <f t="shared" si="1"/>
        <v>20000</v>
      </c>
      <c r="N14" s="148">
        <f t="shared" si="1"/>
        <v>521762</v>
      </c>
      <c r="O14" s="148">
        <f t="shared" si="1"/>
        <v>416500</v>
      </c>
      <c r="P14" s="149">
        <f>SUM(P2:P13)</f>
        <v>150000</v>
      </c>
      <c r="Q14" s="149">
        <f>SUM(Q2:Q13)</f>
        <v>827500</v>
      </c>
      <c r="R14" s="150">
        <f>SUM(B14:P14)</f>
        <v>10445317</v>
      </c>
    </row>
  </sheetData>
  <pageMargins left="0.7" right="0.7" top="0.75" bottom="0.75" header="0.3" footer="0.3"/>
  <pageSetup scale="80" fitToHeight="5" orientation="portrait" horizontalDpi="4294967293" verticalDpi="4294967293"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4"/>
  <sheetViews>
    <sheetView workbookViewId="0">
      <selection activeCell="I20" sqref="I20"/>
    </sheetView>
  </sheetViews>
  <sheetFormatPr defaultRowHeight="15"/>
  <cols>
    <col min="1" max="1" width="9.7109375" customWidth="1"/>
    <col min="2" max="2" width="10.140625" customWidth="1"/>
    <col min="3" max="3" width="10.5703125" customWidth="1"/>
    <col min="4" max="4" width="10.85546875" customWidth="1"/>
    <col min="8" max="8" width="11.42578125" customWidth="1"/>
    <col min="9" max="9" width="13.5703125" customWidth="1"/>
    <col min="10" max="10" width="12.28515625" customWidth="1"/>
    <col min="13" max="13" width="13.140625" customWidth="1"/>
    <col min="14" max="14" width="12.28515625" customWidth="1"/>
    <col min="15" max="15" width="10.28515625" customWidth="1"/>
    <col min="17" max="17" width="12.5703125" customWidth="1"/>
  </cols>
  <sheetData>
    <row r="1" spans="1:17" ht="15.75" thickBot="1">
      <c r="A1" s="118" t="s">
        <v>22</v>
      </c>
      <c r="B1" s="119" t="s">
        <v>71</v>
      </c>
      <c r="C1" s="119" t="s">
        <v>72</v>
      </c>
      <c r="D1" s="119" t="s">
        <v>231</v>
      </c>
      <c r="E1" s="119" t="s">
        <v>78</v>
      </c>
      <c r="F1" s="119" t="s">
        <v>76</v>
      </c>
      <c r="G1" s="119" t="s">
        <v>79</v>
      </c>
      <c r="H1" s="119" t="s">
        <v>153</v>
      </c>
      <c r="I1" s="119" t="s">
        <v>232</v>
      </c>
      <c r="J1" s="119" t="s">
        <v>233</v>
      </c>
      <c r="K1" s="119" t="s">
        <v>59</v>
      </c>
      <c r="L1" s="120" t="s">
        <v>156</v>
      </c>
      <c r="M1" s="119" t="s">
        <v>75</v>
      </c>
      <c r="N1" s="121" t="s">
        <v>250</v>
      </c>
      <c r="O1" s="122" t="s">
        <v>73</v>
      </c>
      <c r="P1" s="123" t="s">
        <v>77</v>
      </c>
      <c r="Q1" s="124" t="s">
        <v>211</v>
      </c>
    </row>
    <row r="2" spans="1:17" ht="15.75" thickBot="1">
      <c r="A2" s="125" t="s">
        <v>234</v>
      </c>
      <c r="B2" s="126">
        <v>405500</v>
      </c>
      <c r="C2" s="126">
        <v>179955</v>
      </c>
      <c r="D2" s="127">
        <v>8000</v>
      </c>
      <c r="E2" s="127">
        <v>2000</v>
      </c>
      <c r="F2" s="126">
        <v>3000</v>
      </c>
      <c r="G2" s="126">
        <v>2250</v>
      </c>
      <c r="H2" s="126">
        <v>118</v>
      </c>
      <c r="I2" s="126">
        <v>4700</v>
      </c>
      <c r="J2" s="126">
        <v>1000</v>
      </c>
      <c r="K2" s="117">
        <v>4080</v>
      </c>
      <c r="L2" s="117">
        <v>61800</v>
      </c>
      <c r="M2" s="126">
        <v>0</v>
      </c>
      <c r="N2" s="126">
        <v>17500</v>
      </c>
      <c r="O2" s="126">
        <v>49000</v>
      </c>
      <c r="P2" s="128">
        <v>0</v>
      </c>
      <c r="Q2" s="129">
        <f>SUM(B2:P2)</f>
        <v>738903</v>
      </c>
    </row>
    <row r="3" spans="1:17" ht="15.75" thickBot="1">
      <c r="A3" s="125" t="s">
        <v>235</v>
      </c>
      <c r="B3" s="117">
        <v>1683100</v>
      </c>
      <c r="C3" s="117">
        <v>437119</v>
      </c>
      <c r="D3" s="117">
        <v>8000</v>
      </c>
      <c r="E3" s="117">
        <v>2000</v>
      </c>
      <c r="F3" s="117">
        <v>3000</v>
      </c>
      <c r="G3" s="117">
        <v>1700</v>
      </c>
      <c r="H3" s="117">
        <v>456</v>
      </c>
      <c r="I3" s="117">
        <v>7200</v>
      </c>
      <c r="J3" s="117">
        <v>0</v>
      </c>
      <c r="K3" s="117">
        <v>4360</v>
      </c>
      <c r="L3" s="117">
        <v>19200</v>
      </c>
      <c r="M3" s="117">
        <v>4000</v>
      </c>
      <c r="N3" s="117">
        <v>325500</v>
      </c>
      <c r="O3" s="117">
        <v>227500</v>
      </c>
      <c r="P3" s="128">
        <v>0</v>
      </c>
      <c r="Q3" s="129">
        <f t="shared" ref="Q3:Q13" si="0">SUM(B3:P3)</f>
        <v>2723135</v>
      </c>
    </row>
    <row r="4" spans="1:17" ht="15.75" thickBot="1">
      <c r="A4" s="125" t="s">
        <v>236</v>
      </c>
      <c r="B4" s="117">
        <v>461750</v>
      </c>
      <c r="C4" s="117">
        <v>623352</v>
      </c>
      <c r="D4" s="117">
        <v>0</v>
      </c>
      <c r="E4" s="117">
        <v>400</v>
      </c>
      <c r="F4" s="117">
        <v>3000</v>
      </c>
      <c r="G4" s="117">
        <v>600</v>
      </c>
      <c r="H4" s="117">
        <v>228</v>
      </c>
      <c r="I4" s="117">
        <v>10500</v>
      </c>
      <c r="J4" s="117">
        <v>0</v>
      </c>
      <c r="K4" s="117">
        <v>4640</v>
      </c>
      <c r="L4" s="117">
        <v>11500</v>
      </c>
      <c r="M4" s="117">
        <v>4000</v>
      </c>
      <c r="N4" s="117">
        <v>87500</v>
      </c>
      <c r="O4" s="117">
        <v>70000</v>
      </c>
      <c r="P4" s="128">
        <v>50000</v>
      </c>
      <c r="Q4" s="129">
        <f t="shared" si="0"/>
        <v>1327470</v>
      </c>
    </row>
    <row r="5" spans="1:17" ht="15.75" thickBot="1">
      <c r="A5" s="125" t="s">
        <v>237</v>
      </c>
      <c r="B5" s="117">
        <v>210150</v>
      </c>
      <c r="C5" s="117">
        <v>669938</v>
      </c>
      <c r="D5" s="117">
        <v>16000</v>
      </c>
      <c r="E5" s="117">
        <v>500</v>
      </c>
      <c r="F5" s="117">
        <v>3000</v>
      </c>
      <c r="G5" s="117">
        <v>2115</v>
      </c>
      <c r="H5" s="117">
        <v>456</v>
      </c>
      <c r="I5" s="117">
        <v>10500</v>
      </c>
      <c r="J5" s="117">
        <v>0</v>
      </c>
      <c r="K5" s="117">
        <v>4580</v>
      </c>
      <c r="L5" s="117">
        <v>0</v>
      </c>
      <c r="M5" s="117">
        <v>4000</v>
      </c>
      <c r="N5" s="117">
        <v>0</v>
      </c>
      <c r="O5" s="117">
        <v>17500</v>
      </c>
      <c r="P5" s="128">
        <v>50000</v>
      </c>
      <c r="Q5" s="129">
        <f t="shared" si="0"/>
        <v>988739</v>
      </c>
    </row>
    <row r="6" spans="1:17" ht="15.75" thickBot="1">
      <c r="A6" s="125" t="s">
        <v>238</v>
      </c>
      <c r="B6" s="117">
        <v>78950</v>
      </c>
      <c r="C6" s="117">
        <v>559682</v>
      </c>
      <c r="D6" s="117">
        <v>8000</v>
      </c>
      <c r="E6" s="117">
        <v>0</v>
      </c>
      <c r="F6" s="117">
        <v>9000</v>
      </c>
      <c r="G6" s="117">
        <v>1400</v>
      </c>
      <c r="H6" s="117">
        <v>228</v>
      </c>
      <c r="I6" s="117">
        <v>5900</v>
      </c>
      <c r="J6" s="117">
        <v>0</v>
      </c>
      <c r="K6" s="117">
        <v>4580</v>
      </c>
      <c r="L6" s="117">
        <v>0</v>
      </c>
      <c r="M6" s="117">
        <v>12000</v>
      </c>
      <c r="N6" s="117">
        <v>0</v>
      </c>
      <c r="O6" s="117">
        <v>10500</v>
      </c>
      <c r="P6" s="128">
        <v>0</v>
      </c>
      <c r="Q6" s="129">
        <f t="shared" si="0"/>
        <v>690240</v>
      </c>
    </row>
    <row r="7" spans="1:17" ht="15.75" thickBot="1">
      <c r="A7" s="125" t="s">
        <v>239</v>
      </c>
      <c r="B7" s="117">
        <v>154400</v>
      </c>
      <c r="C7" s="117">
        <v>456633</v>
      </c>
      <c r="D7" s="117">
        <v>8000</v>
      </c>
      <c r="E7" s="117">
        <v>4000</v>
      </c>
      <c r="F7" s="117">
        <v>6000</v>
      </c>
      <c r="G7" s="117">
        <v>900</v>
      </c>
      <c r="H7" s="117">
        <v>0</v>
      </c>
      <c r="I7" s="117">
        <v>55400</v>
      </c>
      <c r="J7" s="117">
        <v>0</v>
      </c>
      <c r="K7" s="117">
        <v>4200</v>
      </c>
      <c r="L7" s="117">
        <v>0</v>
      </c>
      <c r="M7" s="117">
        <v>4000</v>
      </c>
      <c r="N7" s="117">
        <v>0</v>
      </c>
      <c r="O7" s="117">
        <v>3500</v>
      </c>
      <c r="P7" s="128">
        <v>50000</v>
      </c>
      <c r="Q7" s="129">
        <f t="shared" si="0"/>
        <v>747033</v>
      </c>
    </row>
    <row r="8" spans="1:17" ht="15.75" thickBot="1">
      <c r="A8" s="125" t="s">
        <v>240</v>
      </c>
      <c r="B8" s="117">
        <v>217650</v>
      </c>
      <c r="C8" s="117">
        <v>300478</v>
      </c>
      <c r="D8" s="117">
        <v>8000</v>
      </c>
      <c r="E8" s="117">
        <v>0</v>
      </c>
      <c r="F8" s="117">
        <v>6000</v>
      </c>
      <c r="G8" s="117">
        <v>1900</v>
      </c>
      <c r="H8" s="117">
        <v>228</v>
      </c>
      <c r="I8" s="117">
        <v>4400</v>
      </c>
      <c r="J8" s="117">
        <v>0</v>
      </c>
      <c r="K8" s="117">
        <v>4240</v>
      </c>
      <c r="L8" s="117">
        <v>11400</v>
      </c>
      <c r="M8" s="117">
        <v>8000</v>
      </c>
      <c r="N8" s="117">
        <v>3500</v>
      </c>
      <c r="O8" s="117">
        <v>3500</v>
      </c>
      <c r="P8" s="128">
        <v>0</v>
      </c>
      <c r="Q8" s="129">
        <f t="shared" si="0"/>
        <v>569296</v>
      </c>
    </row>
    <row r="9" spans="1:17" ht="15.75" thickBot="1">
      <c r="A9" s="125" t="s">
        <v>241</v>
      </c>
      <c r="B9" s="117">
        <v>92000</v>
      </c>
      <c r="C9" s="117">
        <v>321445</v>
      </c>
      <c r="D9" s="117">
        <v>8000</v>
      </c>
      <c r="E9" s="117">
        <v>1500</v>
      </c>
      <c r="F9" s="117">
        <v>3000</v>
      </c>
      <c r="G9" s="117">
        <v>3000</v>
      </c>
      <c r="H9" s="117">
        <v>228</v>
      </c>
      <c r="I9" s="117">
        <v>8000</v>
      </c>
      <c r="J9" s="117">
        <v>0</v>
      </c>
      <c r="K9" s="117">
        <v>4620</v>
      </c>
      <c r="L9" s="117">
        <v>0</v>
      </c>
      <c r="M9" s="117">
        <v>0</v>
      </c>
      <c r="N9" s="117">
        <v>52500</v>
      </c>
      <c r="O9" s="117">
        <v>3500</v>
      </c>
      <c r="P9" s="128">
        <v>0</v>
      </c>
      <c r="Q9" s="129">
        <f t="shared" si="0"/>
        <v>497793</v>
      </c>
    </row>
    <row r="10" spans="1:17" ht="15.75" thickBot="1">
      <c r="A10" s="125" t="s">
        <v>242</v>
      </c>
      <c r="B10" s="117">
        <v>112700</v>
      </c>
      <c r="C10" s="117">
        <v>213568</v>
      </c>
      <c r="D10" s="117">
        <v>8000</v>
      </c>
      <c r="E10" s="117">
        <v>8500</v>
      </c>
      <c r="F10" s="117">
        <v>3000</v>
      </c>
      <c r="G10" s="117">
        <v>2094</v>
      </c>
      <c r="H10" s="117">
        <v>1340</v>
      </c>
      <c r="I10" s="117">
        <v>55500</v>
      </c>
      <c r="J10" s="117">
        <v>0</v>
      </c>
      <c r="K10" s="117">
        <v>4560</v>
      </c>
      <c r="L10" s="117">
        <v>0</v>
      </c>
      <c r="M10" s="117">
        <v>4000</v>
      </c>
      <c r="N10" s="117">
        <v>168000</v>
      </c>
      <c r="O10" s="117">
        <v>0</v>
      </c>
      <c r="P10" s="128">
        <v>0</v>
      </c>
      <c r="Q10" s="129">
        <f t="shared" si="0"/>
        <v>581262</v>
      </c>
    </row>
    <row r="11" spans="1:17" ht="15.75" thickBot="1">
      <c r="A11" s="125" t="s">
        <v>243</v>
      </c>
      <c r="B11" s="117">
        <v>110400</v>
      </c>
      <c r="C11" s="117">
        <v>266495</v>
      </c>
      <c r="D11" s="117">
        <v>8000</v>
      </c>
      <c r="E11" s="117">
        <v>0</v>
      </c>
      <c r="F11" s="117">
        <v>0</v>
      </c>
      <c r="G11" s="117">
        <v>1700</v>
      </c>
      <c r="H11" s="117">
        <v>0</v>
      </c>
      <c r="I11" s="117">
        <v>7100</v>
      </c>
      <c r="J11" s="117">
        <v>0</v>
      </c>
      <c r="K11" s="117">
        <v>4520</v>
      </c>
      <c r="L11" s="117">
        <v>0</v>
      </c>
      <c r="M11" s="117">
        <v>0</v>
      </c>
      <c r="N11" s="117">
        <v>52500</v>
      </c>
      <c r="O11" s="117">
        <v>119000</v>
      </c>
      <c r="P11" s="128">
        <v>0</v>
      </c>
      <c r="Q11" s="129">
        <f t="shared" si="0"/>
        <v>569715</v>
      </c>
    </row>
    <row r="12" spans="1:17" ht="15.75" thickBot="1">
      <c r="A12" s="125" t="s">
        <v>244</v>
      </c>
      <c r="B12" s="117">
        <v>82150</v>
      </c>
      <c r="C12" s="117">
        <v>253978</v>
      </c>
      <c r="D12" s="117">
        <v>8000</v>
      </c>
      <c r="E12" s="117">
        <v>4000</v>
      </c>
      <c r="F12" s="117">
        <v>5000</v>
      </c>
      <c r="G12" s="117">
        <v>400</v>
      </c>
      <c r="H12" s="117">
        <v>0</v>
      </c>
      <c r="I12" s="117">
        <v>5100</v>
      </c>
      <c r="J12" s="117">
        <v>0</v>
      </c>
      <c r="K12" s="117">
        <v>3040</v>
      </c>
      <c r="L12" s="117">
        <v>0</v>
      </c>
      <c r="M12" s="117">
        <v>0</v>
      </c>
      <c r="N12" s="117">
        <v>126000</v>
      </c>
      <c r="O12" s="117">
        <v>161045</v>
      </c>
      <c r="P12" s="128">
        <v>0</v>
      </c>
      <c r="Q12" s="129">
        <f t="shared" si="0"/>
        <v>648713</v>
      </c>
    </row>
    <row r="13" spans="1:17" ht="15.75" thickBot="1">
      <c r="A13" s="125" t="s">
        <v>249</v>
      </c>
      <c r="B13" s="141">
        <v>89100</v>
      </c>
      <c r="C13" s="141">
        <v>311040</v>
      </c>
      <c r="D13" s="141">
        <v>8000</v>
      </c>
      <c r="E13" s="141">
        <v>3000</v>
      </c>
      <c r="F13" s="141">
        <v>5000</v>
      </c>
      <c r="G13" s="141">
        <v>1100</v>
      </c>
      <c r="H13" s="141">
        <v>0</v>
      </c>
      <c r="I13" s="141">
        <v>6800</v>
      </c>
      <c r="J13" s="141">
        <v>14826</v>
      </c>
      <c r="K13" s="117">
        <v>3840</v>
      </c>
      <c r="L13" s="117">
        <v>0</v>
      </c>
      <c r="M13" s="117">
        <v>0</v>
      </c>
      <c r="N13" s="117">
        <v>38500</v>
      </c>
      <c r="O13" s="117">
        <v>35000</v>
      </c>
      <c r="P13" s="128">
        <v>50000</v>
      </c>
      <c r="Q13" s="129">
        <f t="shared" si="0"/>
        <v>566206</v>
      </c>
    </row>
    <row r="14" spans="1:17" ht="16.5" thickBot="1">
      <c r="A14" s="130" t="s">
        <v>20</v>
      </c>
      <c r="B14" s="131">
        <f>SUM(B2:B13)</f>
        <v>3697850</v>
      </c>
      <c r="C14" s="131">
        <f t="shared" ref="C14:L14" si="1">SUM(C2:C13)</f>
        <v>4593683</v>
      </c>
      <c r="D14" s="131">
        <f t="shared" si="1"/>
        <v>96000</v>
      </c>
      <c r="E14" s="131">
        <f t="shared" si="1"/>
        <v>25900</v>
      </c>
      <c r="F14" s="131">
        <f t="shared" si="1"/>
        <v>49000</v>
      </c>
      <c r="G14" s="131">
        <f t="shared" si="1"/>
        <v>19159</v>
      </c>
      <c r="H14" s="131">
        <f t="shared" si="1"/>
        <v>3282</v>
      </c>
      <c r="I14" s="131">
        <f t="shared" si="1"/>
        <v>181100</v>
      </c>
      <c r="J14" s="131">
        <f t="shared" si="1"/>
        <v>15826</v>
      </c>
      <c r="K14" s="131">
        <f t="shared" si="1"/>
        <v>51260</v>
      </c>
      <c r="L14" s="131">
        <f t="shared" si="1"/>
        <v>103900</v>
      </c>
      <c r="M14" s="132">
        <f t="shared" ref="M14:O14" si="2">SUM(M2:M13)</f>
        <v>40000</v>
      </c>
      <c r="N14" s="132">
        <f t="shared" si="2"/>
        <v>871500</v>
      </c>
      <c r="O14" s="132">
        <f t="shared" si="2"/>
        <v>700045</v>
      </c>
      <c r="P14" s="133">
        <f>SUM(P2:P13)</f>
        <v>200000</v>
      </c>
      <c r="Q14" s="134">
        <f>SUM(B14:P14)</f>
        <v>10648505</v>
      </c>
    </row>
  </sheetData>
  <pageMargins left="0.7" right="0.7" top="0.75" bottom="0.75" header="0.3" footer="0.3"/>
  <pageSetup scale="80" fitToHeight="5" orientation="portrait" horizontalDpi="4294967293" verticalDpi="4294967293"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N26"/>
  <sheetViews>
    <sheetView workbookViewId="0">
      <selection activeCell="P15" sqref="P15"/>
    </sheetView>
  </sheetViews>
  <sheetFormatPr defaultRowHeight="15"/>
  <cols>
    <col min="3" max="3" width="14.28515625" bestFit="1" customWidth="1"/>
    <col min="4" max="4" width="11" bestFit="1" customWidth="1"/>
    <col min="16" max="16" width="16.140625" bestFit="1" customWidth="1"/>
    <col min="18" max="19" width="12.85546875" customWidth="1"/>
    <col min="22" max="22" width="12.5703125" customWidth="1"/>
    <col min="23" max="23" width="16.85546875" bestFit="1" customWidth="1"/>
    <col min="24" max="24" width="17.140625" customWidth="1"/>
    <col min="25" max="25" width="13.140625" customWidth="1"/>
    <col min="26" max="26" width="13.28515625" customWidth="1"/>
    <col min="28" max="29" width="12.85546875" customWidth="1"/>
    <col min="30" max="30" width="9.7109375" customWidth="1"/>
    <col min="31" max="31" width="17.140625" customWidth="1"/>
    <col min="32" max="32" width="17.28515625" customWidth="1"/>
    <col min="33" max="33" width="15.7109375" customWidth="1"/>
    <col min="34" max="34" width="15" customWidth="1"/>
    <col min="36" max="36" width="9.85546875" bestFit="1" customWidth="1"/>
    <col min="37" max="37" width="9.85546875" customWidth="1"/>
    <col min="38" max="38" width="15.140625" customWidth="1"/>
    <col min="39" max="39" width="11.7109375" customWidth="1"/>
    <col min="40" max="40" width="12.28515625" bestFit="1" customWidth="1"/>
  </cols>
  <sheetData>
    <row r="1" spans="1:40">
      <c r="A1" s="115" t="s">
        <v>22</v>
      </c>
      <c r="B1" s="115" t="s">
        <v>23</v>
      </c>
      <c r="C1" s="115" t="s">
        <v>218</v>
      </c>
      <c r="D1" s="115" t="s">
        <v>219</v>
      </c>
      <c r="E1" s="115" t="s">
        <v>256</v>
      </c>
      <c r="F1" s="115" t="s">
        <v>258</v>
      </c>
      <c r="G1" s="115" t="s">
        <v>260</v>
      </c>
      <c r="H1" s="115" t="s">
        <v>4</v>
      </c>
      <c r="I1" s="115" t="s">
        <v>5</v>
      </c>
      <c r="J1" s="115" t="s">
        <v>247</v>
      </c>
      <c r="K1" s="115" t="s">
        <v>254</v>
      </c>
      <c r="L1" s="115"/>
      <c r="M1" s="115" t="s">
        <v>58</v>
      </c>
      <c r="N1" s="115" t="s">
        <v>24</v>
      </c>
      <c r="O1" s="115" t="s">
        <v>57</v>
      </c>
      <c r="P1" s="115" t="s">
        <v>26</v>
      </c>
      <c r="Q1" s="115" t="s">
        <v>70</v>
      </c>
      <c r="R1" s="115" t="s">
        <v>245</v>
      </c>
      <c r="S1" s="115" t="s">
        <v>11</v>
      </c>
      <c r="T1" s="115" t="s">
        <v>128</v>
      </c>
      <c r="U1" s="115" t="s">
        <v>66</v>
      </c>
      <c r="V1" s="115" t="s">
        <v>222</v>
      </c>
      <c r="W1" s="115" t="s">
        <v>118</v>
      </c>
      <c r="X1" s="115" t="s">
        <v>59</v>
      </c>
      <c r="Y1" s="115" t="s">
        <v>268</v>
      </c>
      <c r="Z1" s="115" t="s">
        <v>29</v>
      </c>
      <c r="AA1" s="115" t="s">
        <v>61</v>
      </c>
      <c r="AB1" s="115" t="s">
        <v>261</v>
      </c>
      <c r="AC1" s="115" t="s">
        <v>27</v>
      </c>
      <c r="AD1" s="115" t="s">
        <v>223</v>
      </c>
      <c r="AE1" s="115" t="s">
        <v>263</v>
      </c>
      <c r="AF1" s="135" t="s">
        <v>251</v>
      </c>
      <c r="AG1" s="135" t="s">
        <v>252</v>
      </c>
      <c r="AH1" s="135" t="s">
        <v>253</v>
      </c>
      <c r="AI1" s="135" t="s">
        <v>264</v>
      </c>
      <c r="AJ1" s="135" t="s">
        <v>267</v>
      </c>
      <c r="AK1" s="135" t="s">
        <v>270</v>
      </c>
      <c r="AL1" s="135" t="s">
        <v>272</v>
      </c>
      <c r="AM1" s="135" t="s">
        <v>255</v>
      </c>
      <c r="AN1" s="135" t="s">
        <v>266</v>
      </c>
    </row>
    <row r="2" spans="1:40">
      <c r="A2" s="115"/>
      <c r="B2" s="115" t="s">
        <v>225</v>
      </c>
      <c r="C2" s="115" t="s">
        <v>226</v>
      </c>
      <c r="D2" s="115" t="s">
        <v>227</v>
      </c>
      <c r="E2" s="115" t="s">
        <v>257</v>
      </c>
      <c r="F2" s="115" t="s">
        <v>259</v>
      </c>
      <c r="G2" s="115" t="s">
        <v>262</v>
      </c>
      <c r="H2" s="115"/>
      <c r="I2" s="115"/>
      <c r="J2" s="115" t="s">
        <v>53</v>
      </c>
      <c r="K2" s="115"/>
      <c r="L2" s="115" t="s">
        <v>229</v>
      </c>
      <c r="M2" s="115"/>
      <c r="N2" s="115"/>
      <c r="O2" s="115"/>
      <c r="P2" s="115"/>
      <c r="Q2" s="115"/>
      <c r="R2" s="115"/>
      <c r="S2" s="115"/>
      <c r="T2" s="115"/>
      <c r="U2" s="115"/>
      <c r="V2" s="115" t="s">
        <v>71</v>
      </c>
      <c r="W2" s="115"/>
      <c r="X2" s="115"/>
      <c r="Y2" s="115"/>
      <c r="Z2" s="115"/>
      <c r="AA2" s="115"/>
      <c r="AB2" s="115"/>
      <c r="AC2" s="115"/>
      <c r="AD2" s="115" t="s">
        <v>269</v>
      </c>
      <c r="AE2" s="115"/>
      <c r="AF2" s="137"/>
      <c r="AG2" s="137"/>
      <c r="AH2" s="142" t="s">
        <v>265</v>
      </c>
      <c r="AI2" s="137"/>
      <c r="AJ2" s="137"/>
      <c r="AK2" s="137"/>
      <c r="AL2" s="137"/>
      <c r="AM2" s="137"/>
    </row>
    <row r="3" spans="1:40">
      <c r="A3" s="116">
        <v>43556</v>
      </c>
      <c r="B3" s="117">
        <v>255340</v>
      </c>
      <c r="C3" s="117">
        <v>187069</v>
      </c>
      <c r="D3" s="117">
        <f>SUM(C3-B3)</f>
        <v>-68271</v>
      </c>
      <c r="E3" s="117">
        <v>41700</v>
      </c>
      <c r="F3" s="117">
        <v>52130</v>
      </c>
      <c r="G3" s="117">
        <f>SUM(E3-F3)</f>
        <v>-10430</v>
      </c>
      <c r="H3" s="117">
        <v>51168</v>
      </c>
      <c r="I3" s="117">
        <v>63800</v>
      </c>
      <c r="J3" s="117">
        <v>70347</v>
      </c>
      <c r="K3" s="117"/>
      <c r="L3" s="117"/>
      <c r="M3" s="117"/>
      <c r="N3" s="117"/>
      <c r="O3" s="117">
        <v>13100</v>
      </c>
      <c r="P3" s="117">
        <v>38800</v>
      </c>
      <c r="Q3" s="117">
        <v>4275</v>
      </c>
      <c r="R3" s="117">
        <v>3069</v>
      </c>
      <c r="S3" s="117">
        <v>4542</v>
      </c>
      <c r="T3" s="117"/>
      <c r="U3" s="117">
        <v>1100</v>
      </c>
      <c r="V3" s="117">
        <v>31500</v>
      </c>
      <c r="W3" s="117">
        <v>2375</v>
      </c>
      <c r="X3" s="117">
        <v>5000</v>
      </c>
      <c r="Y3" s="117">
        <v>2500</v>
      </c>
      <c r="Z3" s="117">
        <v>252</v>
      </c>
      <c r="AA3" s="117">
        <v>540</v>
      </c>
      <c r="AB3" s="117">
        <v>1230</v>
      </c>
      <c r="AC3" s="117">
        <v>600</v>
      </c>
      <c r="AD3" s="117">
        <v>8000</v>
      </c>
      <c r="AE3" s="117"/>
      <c r="AF3" s="137"/>
      <c r="AG3" s="137">
        <v>100000</v>
      </c>
      <c r="AH3" s="137"/>
      <c r="AI3" s="137"/>
      <c r="AJ3" s="137">
        <v>104925</v>
      </c>
      <c r="AK3" s="137"/>
      <c r="AL3" s="137"/>
      <c r="AM3" s="137"/>
      <c r="AN3" s="3">
        <f>SUM(B3+H3+I3+J3+K3+L3+M3+N3+O3+P3+Q3+R3+S3+T3+U3+V3+W3+X3+Y3+Z3+AA3+AB3+AC3+AD3+AE3+AF3+AG3+AH3+AI3+AJ3+AK3+AL3+AM3)</f>
        <v>762463</v>
      </c>
    </row>
    <row r="4" spans="1:40">
      <c r="A4" s="116">
        <v>43586</v>
      </c>
      <c r="B4" s="117">
        <v>548630</v>
      </c>
      <c r="C4" s="117">
        <v>354357</v>
      </c>
      <c r="D4" s="117">
        <f t="shared" ref="D4:D14" si="0">SUM(C4-B4)</f>
        <v>-194273</v>
      </c>
      <c r="E4" s="117">
        <v>69120</v>
      </c>
      <c r="F4" s="117">
        <v>64003</v>
      </c>
      <c r="G4" s="117">
        <f t="shared" ref="G4:G14" si="1">SUM(E4-F4)</f>
        <v>5117</v>
      </c>
      <c r="H4" s="117">
        <v>46150</v>
      </c>
      <c r="I4" s="117">
        <v>63800</v>
      </c>
      <c r="J4" s="117">
        <v>10000</v>
      </c>
      <c r="K4" s="117">
        <v>182000</v>
      </c>
      <c r="L4" s="117"/>
      <c r="M4" s="117"/>
      <c r="N4" s="117"/>
      <c r="O4" s="117">
        <v>4100</v>
      </c>
      <c r="P4" s="117">
        <v>56668</v>
      </c>
      <c r="Q4" s="117">
        <v>2285</v>
      </c>
      <c r="R4" s="117">
        <v>5151</v>
      </c>
      <c r="S4" s="117">
        <v>17400</v>
      </c>
      <c r="T4" s="117"/>
      <c r="U4" s="117">
        <v>1100</v>
      </c>
      <c r="V4" s="117"/>
      <c r="W4" s="117">
        <v>7005</v>
      </c>
      <c r="X4" s="117">
        <v>5000</v>
      </c>
      <c r="Y4" s="117"/>
      <c r="Z4" s="117">
        <v>0</v>
      </c>
      <c r="AA4" s="117">
        <v>500</v>
      </c>
      <c r="AB4" s="117">
        <v>1660</v>
      </c>
      <c r="AC4" s="117">
        <v>600</v>
      </c>
      <c r="AD4" s="117"/>
      <c r="AE4" s="117"/>
      <c r="AF4" s="137">
        <v>8478</v>
      </c>
      <c r="AG4" s="137">
        <v>95000</v>
      </c>
      <c r="AH4" s="137"/>
      <c r="AI4" s="137"/>
      <c r="AJ4" s="137"/>
      <c r="AK4" s="137"/>
      <c r="AL4" s="137"/>
      <c r="AM4" s="137">
        <v>5000</v>
      </c>
      <c r="AN4" s="3">
        <f t="shared" ref="AN4:AN14" si="2">SUM(B4+H4+I4+J4+K4+L4+M4+N4+O4+P4+Q4+R4+S4+T4+U4+V4+W4+X4+Y4+Z4+AA4+AB4+AC4+AD4+AE4+AF4+AG4+AH4+AI4+AJ4+AK4+AL4+AM4)</f>
        <v>1060527</v>
      </c>
    </row>
    <row r="5" spans="1:40">
      <c r="A5" s="116">
        <v>43617</v>
      </c>
      <c r="B5" s="117">
        <v>499490</v>
      </c>
      <c r="C5" s="117">
        <v>511154</v>
      </c>
      <c r="D5" s="117">
        <f t="shared" si="0"/>
        <v>11664</v>
      </c>
      <c r="E5" s="117">
        <v>95180</v>
      </c>
      <c r="F5" s="117">
        <v>102813</v>
      </c>
      <c r="G5" s="117">
        <f t="shared" si="1"/>
        <v>-7633</v>
      </c>
      <c r="H5" s="117">
        <v>51650</v>
      </c>
      <c r="I5" s="117">
        <v>63800</v>
      </c>
      <c r="J5" s="117"/>
      <c r="K5" s="117"/>
      <c r="L5" s="117"/>
      <c r="M5" s="117"/>
      <c r="N5" s="117"/>
      <c r="O5" s="117">
        <v>9500</v>
      </c>
      <c r="P5" s="117">
        <v>32061</v>
      </c>
      <c r="Q5" s="117"/>
      <c r="R5" s="117">
        <v>2525</v>
      </c>
      <c r="S5" s="117">
        <v>40900</v>
      </c>
      <c r="T5" s="117"/>
      <c r="U5" s="117">
        <v>1979</v>
      </c>
      <c r="V5" s="117"/>
      <c r="W5" s="117">
        <v>9290</v>
      </c>
      <c r="X5" s="117">
        <v>5000</v>
      </c>
      <c r="Y5" s="117"/>
      <c r="Z5" s="117">
        <v>477</v>
      </c>
      <c r="AA5" s="117">
        <v>1885</v>
      </c>
      <c r="AB5" s="117">
        <v>2645</v>
      </c>
      <c r="AC5" s="117">
        <v>800</v>
      </c>
      <c r="AD5" s="117"/>
      <c r="AE5" s="117"/>
      <c r="AF5" s="137">
        <v>194713</v>
      </c>
      <c r="AG5" s="137"/>
      <c r="AH5" s="137">
        <v>13530</v>
      </c>
      <c r="AI5" s="137"/>
      <c r="AJ5" s="137"/>
      <c r="AK5" s="137"/>
      <c r="AL5" s="137"/>
      <c r="AM5" s="137"/>
      <c r="AN5" s="3">
        <f t="shared" si="2"/>
        <v>930245</v>
      </c>
    </row>
    <row r="6" spans="1:40">
      <c r="A6" s="116">
        <v>43647</v>
      </c>
      <c r="B6" s="117">
        <v>740160</v>
      </c>
      <c r="C6" s="117">
        <v>788688</v>
      </c>
      <c r="D6" s="117">
        <f t="shared" si="0"/>
        <v>48528</v>
      </c>
      <c r="E6" s="117">
        <v>103580</v>
      </c>
      <c r="F6" s="117">
        <v>66397</v>
      </c>
      <c r="G6" s="117">
        <f t="shared" si="1"/>
        <v>37183</v>
      </c>
      <c r="H6" s="117">
        <v>45150</v>
      </c>
      <c r="I6" s="117">
        <v>63800</v>
      </c>
      <c r="J6" s="117">
        <v>23600</v>
      </c>
      <c r="K6" s="117">
        <v>294000</v>
      </c>
      <c r="L6" s="117"/>
      <c r="M6" s="117">
        <v>365437</v>
      </c>
      <c r="N6" s="117">
        <v>49400</v>
      </c>
      <c r="O6" s="117">
        <v>3100</v>
      </c>
      <c r="P6" s="117">
        <v>18999</v>
      </c>
      <c r="Q6" s="117">
        <v>0</v>
      </c>
      <c r="R6" s="117">
        <v>2228</v>
      </c>
      <c r="S6" s="117">
        <v>21026</v>
      </c>
      <c r="T6" s="117"/>
      <c r="U6" s="117">
        <v>7400</v>
      </c>
      <c r="V6" s="117"/>
      <c r="W6" s="117">
        <v>2000</v>
      </c>
      <c r="X6" s="117">
        <v>5000</v>
      </c>
      <c r="Y6" s="117">
        <v>3413</v>
      </c>
      <c r="Z6" s="117">
        <v>0</v>
      </c>
      <c r="AA6" s="117">
        <v>500</v>
      </c>
      <c r="AB6" s="117">
        <v>5926</v>
      </c>
      <c r="AC6" s="117">
        <v>1771</v>
      </c>
      <c r="AD6" s="117"/>
      <c r="AE6" s="117"/>
      <c r="AF6" s="136"/>
      <c r="AG6" s="137"/>
      <c r="AH6" s="137">
        <v>9722</v>
      </c>
      <c r="AI6" s="137"/>
      <c r="AJ6" s="137"/>
      <c r="AK6" s="137"/>
      <c r="AL6" s="137"/>
      <c r="AM6" s="137"/>
      <c r="AN6" s="3">
        <f t="shared" si="2"/>
        <v>1662632</v>
      </c>
    </row>
    <row r="7" spans="1:40">
      <c r="A7" s="116">
        <v>43678</v>
      </c>
      <c r="B7" s="117">
        <v>601470</v>
      </c>
      <c r="C7" s="117">
        <v>541052</v>
      </c>
      <c r="D7" s="117">
        <f t="shared" si="0"/>
        <v>-60418</v>
      </c>
      <c r="E7" s="117">
        <v>78920</v>
      </c>
      <c r="F7" s="117">
        <v>76201</v>
      </c>
      <c r="G7" s="117">
        <f t="shared" si="1"/>
        <v>2719</v>
      </c>
      <c r="H7" s="117">
        <v>55700</v>
      </c>
      <c r="I7" s="117">
        <v>63800</v>
      </c>
      <c r="J7" s="117"/>
      <c r="K7" s="117"/>
      <c r="L7" s="117"/>
      <c r="M7" s="117"/>
      <c r="N7" s="117"/>
      <c r="O7" s="117">
        <v>11600</v>
      </c>
      <c r="P7" s="117">
        <v>42263</v>
      </c>
      <c r="Q7" s="117">
        <v>0</v>
      </c>
      <c r="R7" s="117">
        <v>3810</v>
      </c>
      <c r="S7" s="117">
        <v>30556</v>
      </c>
      <c r="T7" s="117"/>
      <c r="U7" s="117">
        <v>1100</v>
      </c>
      <c r="V7" s="117"/>
      <c r="W7" s="117">
        <v>2688</v>
      </c>
      <c r="X7" s="117">
        <v>5000</v>
      </c>
      <c r="Y7" s="117">
        <v>15029</v>
      </c>
      <c r="Z7" s="117">
        <v>1280</v>
      </c>
      <c r="AA7" s="117">
        <v>500</v>
      </c>
      <c r="AB7" s="117">
        <v>1325</v>
      </c>
      <c r="AC7" s="117">
        <v>1352</v>
      </c>
      <c r="AD7" s="117">
        <v>28000</v>
      </c>
      <c r="AE7" s="117">
        <v>3870</v>
      </c>
      <c r="AF7" s="136"/>
      <c r="AG7" s="137">
        <v>21595</v>
      </c>
      <c r="AH7" s="137">
        <v>550</v>
      </c>
      <c r="AI7" s="137">
        <v>37500</v>
      </c>
      <c r="AJ7" s="137"/>
      <c r="AK7" s="137">
        <v>37280</v>
      </c>
      <c r="AL7" s="137"/>
      <c r="AM7" s="137"/>
      <c r="AN7" s="3">
        <f t="shared" si="2"/>
        <v>966268</v>
      </c>
    </row>
    <row r="8" spans="1:40">
      <c r="A8" s="116">
        <v>43709</v>
      </c>
      <c r="B8" s="117">
        <v>663590</v>
      </c>
      <c r="C8" s="117">
        <v>569143</v>
      </c>
      <c r="D8" s="117">
        <f t="shared" si="0"/>
        <v>-94447</v>
      </c>
      <c r="E8" s="117">
        <v>84300</v>
      </c>
      <c r="F8" s="117">
        <v>61333</v>
      </c>
      <c r="G8" s="117">
        <f t="shared" si="1"/>
        <v>22967</v>
      </c>
      <c r="H8" s="117">
        <v>37400</v>
      </c>
      <c r="I8" s="117">
        <v>63800</v>
      </c>
      <c r="J8" s="117">
        <v>285427</v>
      </c>
      <c r="K8" s="117"/>
      <c r="L8" s="117">
        <v>31000</v>
      </c>
      <c r="M8" s="117"/>
      <c r="N8" s="117"/>
      <c r="O8" s="117">
        <v>8600</v>
      </c>
      <c r="P8" s="117">
        <v>35944</v>
      </c>
      <c r="Q8" s="117">
        <v>52134</v>
      </c>
      <c r="R8" s="117">
        <v>2563</v>
      </c>
      <c r="S8" s="117">
        <v>40030</v>
      </c>
      <c r="T8" s="117"/>
      <c r="U8" s="117">
        <v>1100</v>
      </c>
      <c r="V8" s="117"/>
      <c r="W8" s="117">
        <v>2440</v>
      </c>
      <c r="X8" s="117">
        <v>5000</v>
      </c>
      <c r="Y8" s="117">
        <v>3532</v>
      </c>
      <c r="Z8" s="117">
        <v>504</v>
      </c>
      <c r="AA8" s="117">
        <v>500</v>
      </c>
      <c r="AB8" s="117">
        <v>1420</v>
      </c>
      <c r="AC8" s="117">
        <v>1160</v>
      </c>
      <c r="AD8" s="117"/>
      <c r="AE8" s="117"/>
      <c r="AF8" s="137"/>
      <c r="AG8" s="137">
        <v>40180</v>
      </c>
      <c r="AH8" s="137">
        <v>11600</v>
      </c>
      <c r="AI8" s="137"/>
      <c r="AJ8" s="137"/>
      <c r="AK8" s="137"/>
      <c r="AL8" s="137"/>
      <c r="AM8" s="137">
        <v>1000</v>
      </c>
      <c r="AN8" s="3">
        <f t="shared" si="2"/>
        <v>1288924</v>
      </c>
    </row>
    <row r="9" spans="1:40">
      <c r="A9" s="116">
        <v>43739</v>
      </c>
      <c r="B9" s="117">
        <v>436310</v>
      </c>
      <c r="C9" s="117">
        <v>462021</v>
      </c>
      <c r="D9" s="117">
        <f t="shared" si="0"/>
        <v>25711</v>
      </c>
      <c r="E9" s="117">
        <v>61920</v>
      </c>
      <c r="F9" s="117">
        <v>41278</v>
      </c>
      <c r="G9" s="117">
        <f t="shared" si="1"/>
        <v>20642</v>
      </c>
      <c r="H9" s="117">
        <v>51000</v>
      </c>
      <c r="I9" s="117">
        <v>63800</v>
      </c>
      <c r="J9" s="117"/>
      <c r="K9" s="117">
        <v>80500</v>
      </c>
      <c r="L9" s="117"/>
      <c r="M9" s="117"/>
      <c r="N9" s="117"/>
      <c r="O9" s="117">
        <v>9000</v>
      </c>
      <c r="P9" s="117">
        <v>7560</v>
      </c>
      <c r="Q9" s="117">
        <v>0</v>
      </c>
      <c r="R9" s="117">
        <v>5694</v>
      </c>
      <c r="S9" s="117">
        <v>1760</v>
      </c>
      <c r="T9" s="117"/>
      <c r="U9" s="117">
        <v>1100</v>
      </c>
      <c r="V9" s="117"/>
      <c r="W9" s="117">
        <v>2441</v>
      </c>
      <c r="X9" s="117">
        <v>5000</v>
      </c>
      <c r="Y9" s="117">
        <v>0</v>
      </c>
      <c r="Z9" s="117">
        <v>667</v>
      </c>
      <c r="AA9" s="117">
        <v>510</v>
      </c>
      <c r="AB9" s="117">
        <v>1270</v>
      </c>
      <c r="AC9" s="117">
        <v>1200</v>
      </c>
      <c r="AD9" s="117">
        <v>0</v>
      </c>
      <c r="AE9" s="117">
        <v>22228</v>
      </c>
      <c r="AF9" s="137">
        <v>2042</v>
      </c>
      <c r="AG9" s="137">
        <v>30000</v>
      </c>
      <c r="AH9" s="137"/>
      <c r="AI9" s="137"/>
      <c r="AJ9" s="137"/>
      <c r="AK9" s="137">
        <v>100214</v>
      </c>
      <c r="AL9" s="137"/>
      <c r="AM9" s="137"/>
      <c r="AN9" s="3">
        <f t="shared" si="2"/>
        <v>822296</v>
      </c>
    </row>
    <row r="10" spans="1:40">
      <c r="A10" s="116">
        <v>43770</v>
      </c>
      <c r="B10" s="117">
        <v>319190</v>
      </c>
      <c r="C10" s="117">
        <v>349921</v>
      </c>
      <c r="D10" s="117">
        <f t="shared" si="0"/>
        <v>30731</v>
      </c>
      <c r="E10" s="117">
        <v>41160</v>
      </c>
      <c r="F10" s="117">
        <v>23853</v>
      </c>
      <c r="G10" s="117">
        <f t="shared" si="1"/>
        <v>17307</v>
      </c>
      <c r="H10" s="117">
        <v>49000</v>
      </c>
      <c r="I10" s="117">
        <v>63800</v>
      </c>
      <c r="J10" s="117"/>
      <c r="K10" s="117"/>
      <c r="L10" s="117"/>
      <c r="M10" s="117"/>
      <c r="N10" s="117"/>
      <c r="O10" s="117">
        <v>6000</v>
      </c>
      <c r="P10" s="117">
        <v>14665</v>
      </c>
      <c r="Q10" s="117">
        <v>0</v>
      </c>
      <c r="R10" s="117">
        <v>2076</v>
      </c>
      <c r="S10" s="117">
        <v>12330</v>
      </c>
      <c r="T10" s="117"/>
      <c r="U10" s="117">
        <v>1100</v>
      </c>
      <c r="V10" s="117"/>
      <c r="W10" s="117">
        <v>0</v>
      </c>
      <c r="X10" s="117">
        <v>5000</v>
      </c>
      <c r="Y10" s="117">
        <v>2030</v>
      </c>
      <c r="Z10" s="117">
        <v>0</v>
      </c>
      <c r="AA10" s="117">
        <v>500</v>
      </c>
      <c r="AB10" s="117">
        <v>1440</v>
      </c>
      <c r="AC10" s="117">
        <v>700</v>
      </c>
      <c r="AD10" s="117">
        <v>0</v>
      </c>
      <c r="AE10" s="117">
        <v>0</v>
      </c>
      <c r="AF10" s="136">
        <v>0</v>
      </c>
      <c r="AG10" s="136">
        <v>100000</v>
      </c>
      <c r="AH10" s="136">
        <v>0</v>
      </c>
      <c r="AI10" s="136"/>
      <c r="AJ10" s="136"/>
      <c r="AK10" s="136">
        <v>7080</v>
      </c>
      <c r="AL10" s="136"/>
      <c r="AM10" s="136"/>
      <c r="AN10" s="3">
        <f t="shared" si="2"/>
        <v>584911</v>
      </c>
    </row>
    <row r="11" spans="1:40">
      <c r="A11" s="116">
        <v>43800</v>
      </c>
      <c r="B11" s="117">
        <v>290260</v>
      </c>
      <c r="C11" s="117">
        <v>211526</v>
      </c>
      <c r="D11" s="117">
        <f t="shared" si="0"/>
        <v>-78734</v>
      </c>
      <c r="E11" s="117">
        <v>38500</v>
      </c>
      <c r="F11" s="117">
        <v>61734</v>
      </c>
      <c r="G11" s="117">
        <f t="shared" si="1"/>
        <v>-23234</v>
      </c>
      <c r="H11" s="117">
        <v>49000</v>
      </c>
      <c r="I11" s="117">
        <v>63800</v>
      </c>
      <c r="J11" s="117"/>
      <c r="K11" s="117">
        <v>54911</v>
      </c>
      <c r="L11" s="117"/>
      <c r="M11" s="117"/>
      <c r="N11" s="117"/>
      <c r="O11" s="117">
        <v>0</v>
      </c>
      <c r="P11" s="117">
        <v>200745</v>
      </c>
      <c r="Q11" s="117">
        <v>8435</v>
      </c>
      <c r="R11" s="117">
        <v>2683</v>
      </c>
      <c r="S11" s="117">
        <v>9500</v>
      </c>
      <c r="T11" s="117"/>
      <c r="U11" s="117">
        <v>1100</v>
      </c>
      <c r="V11" s="117"/>
      <c r="W11" s="117">
        <v>1500</v>
      </c>
      <c r="X11" s="117">
        <v>5000</v>
      </c>
      <c r="Y11" s="117"/>
      <c r="Z11" s="117">
        <v>398</v>
      </c>
      <c r="AA11" s="117">
        <v>500</v>
      </c>
      <c r="AB11" s="117">
        <v>2500</v>
      </c>
      <c r="AC11" s="117">
        <v>700</v>
      </c>
      <c r="AD11" s="117"/>
      <c r="AE11" s="117" t="s">
        <v>271</v>
      </c>
      <c r="AF11" s="136"/>
      <c r="AG11" s="136">
        <v>13593</v>
      </c>
      <c r="AH11" s="136"/>
      <c r="AI11" s="136"/>
      <c r="AJ11" s="136"/>
      <c r="AK11" s="136"/>
      <c r="AL11" s="136">
        <v>835909</v>
      </c>
      <c r="AM11" s="136"/>
      <c r="AN11" s="3" t="e">
        <f t="shared" si="2"/>
        <v>#VALUE!</v>
      </c>
    </row>
    <row r="12" spans="1:40">
      <c r="A12" s="116">
        <v>43831</v>
      </c>
      <c r="B12" s="117">
        <v>451240</v>
      </c>
      <c r="C12" s="117">
        <v>473595</v>
      </c>
      <c r="D12" s="117">
        <f t="shared" si="0"/>
        <v>22355</v>
      </c>
      <c r="E12" s="117">
        <v>68420</v>
      </c>
      <c r="F12" s="117">
        <v>43525</v>
      </c>
      <c r="G12" s="117">
        <f t="shared" si="1"/>
        <v>24895</v>
      </c>
      <c r="H12" s="117">
        <v>50000</v>
      </c>
      <c r="I12" s="117">
        <v>63800</v>
      </c>
      <c r="J12" s="117"/>
      <c r="K12" s="117"/>
      <c r="L12" s="117"/>
      <c r="M12" s="117"/>
      <c r="N12" s="117"/>
      <c r="O12" s="117">
        <v>12100</v>
      </c>
      <c r="P12" s="117">
        <v>163248</v>
      </c>
      <c r="Q12" s="117">
        <v>0</v>
      </c>
      <c r="R12" s="117">
        <v>3701</v>
      </c>
      <c r="S12" s="117">
        <v>0</v>
      </c>
      <c r="T12" s="117"/>
      <c r="U12" s="117">
        <v>1100</v>
      </c>
      <c r="V12" s="117"/>
      <c r="W12" s="117">
        <v>3701</v>
      </c>
      <c r="X12" s="117">
        <v>5000</v>
      </c>
      <c r="Y12" s="117">
        <v>0</v>
      </c>
      <c r="Z12" s="117">
        <v>0</v>
      </c>
      <c r="AA12" s="117">
        <v>500</v>
      </c>
      <c r="AB12" s="117">
        <v>11319</v>
      </c>
      <c r="AC12" s="117">
        <v>2020</v>
      </c>
      <c r="AD12" s="117"/>
      <c r="AE12" s="117">
        <v>6006</v>
      </c>
      <c r="AF12" s="136"/>
      <c r="AG12" s="136"/>
      <c r="AH12" s="137"/>
      <c r="AI12" s="136"/>
      <c r="AJ12" s="136"/>
      <c r="AK12" s="136"/>
      <c r="AL12" s="136">
        <v>418157</v>
      </c>
      <c r="AM12" s="136"/>
      <c r="AN12" s="3">
        <f t="shared" si="2"/>
        <v>1191892</v>
      </c>
    </row>
    <row r="13" spans="1:40">
      <c r="A13" s="116">
        <v>43862</v>
      </c>
      <c r="B13" s="117">
        <v>356950</v>
      </c>
      <c r="C13" s="117">
        <v>356824</v>
      </c>
      <c r="D13" s="117">
        <f t="shared" si="0"/>
        <v>-126</v>
      </c>
      <c r="E13" s="117">
        <v>28020</v>
      </c>
      <c r="F13" s="117">
        <v>26114</v>
      </c>
      <c r="G13" s="117">
        <f t="shared" si="1"/>
        <v>1906</v>
      </c>
      <c r="H13" s="117">
        <v>50000</v>
      </c>
      <c r="I13" s="117">
        <v>63800</v>
      </c>
      <c r="J13" s="115"/>
      <c r="K13" s="115"/>
      <c r="L13" s="117"/>
      <c r="M13" s="115"/>
      <c r="N13" s="117"/>
      <c r="O13" s="117"/>
      <c r="P13" s="117">
        <v>18700</v>
      </c>
      <c r="Q13" s="117">
        <v>12350</v>
      </c>
      <c r="R13" s="117">
        <v>3339</v>
      </c>
      <c r="S13" s="117">
        <v>2270</v>
      </c>
      <c r="T13" s="117"/>
      <c r="U13" s="117">
        <v>1100</v>
      </c>
      <c r="V13" s="117"/>
      <c r="W13" s="117">
        <v>4650</v>
      </c>
      <c r="X13" s="117">
        <v>5000</v>
      </c>
      <c r="Y13" s="117"/>
      <c r="Z13" s="117">
        <v>1357</v>
      </c>
      <c r="AA13" s="117">
        <v>545</v>
      </c>
      <c r="AB13" s="117">
        <v>80</v>
      </c>
      <c r="AC13" s="117">
        <v>700</v>
      </c>
      <c r="AD13" s="117"/>
      <c r="AE13" s="117"/>
      <c r="AF13" s="117"/>
      <c r="AG13" s="136"/>
      <c r="AH13" s="136"/>
      <c r="AI13" s="137"/>
      <c r="AJ13" s="137"/>
      <c r="AK13" s="137"/>
      <c r="AL13" s="137">
        <v>174046</v>
      </c>
      <c r="AM13" s="137"/>
      <c r="AN13" s="3">
        <f t="shared" si="2"/>
        <v>694887</v>
      </c>
    </row>
    <row r="14" spans="1:40">
      <c r="A14" s="116">
        <v>43891</v>
      </c>
      <c r="B14" s="117">
        <v>315990</v>
      </c>
      <c r="C14" s="117">
        <v>246719</v>
      </c>
      <c r="D14" s="117">
        <f t="shared" si="0"/>
        <v>-69271</v>
      </c>
      <c r="E14" s="117">
        <v>35420</v>
      </c>
      <c r="F14" s="117"/>
      <c r="G14" s="117">
        <f t="shared" si="1"/>
        <v>35420</v>
      </c>
      <c r="H14" s="117">
        <v>51895</v>
      </c>
      <c r="I14" s="117">
        <v>63800</v>
      </c>
      <c r="J14" s="3">
        <v>21240</v>
      </c>
      <c r="K14" s="3"/>
      <c r="L14" s="117"/>
      <c r="M14" s="3"/>
      <c r="N14" s="117"/>
      <c r="O14" s="117">
        <v>3100</v>
      </c>
      <c r="P14" s="117">
        <v>58449</v>
      </c>
      <c r="Q14" s="117">
        <v>550</v>
      </c>
      <c r="R14" s="117">
        <v>3404</v>
      </c>
      <c r="S14" s="117">
        <v>2405</v>
      </c>
      <c r="T14" s="117"/>
      <c r="U14" s="117">
        <v>1100</v>
      </c>
      <c r="V14" s="117"/>
      <c r="W14" s="117">
        <v>17545</v>
      </c>
      <c r="X14" s="117">
        <v>5000</v>
      </c>
      <c r="Y14" s="117"/>
      <c r="Z14" s="117">
        <v>0</v>
      </c>
      <c r="AA14" s="117">
        <v>575</v>
      </c>
      <c r="AB14" s="117">
        <v>1690</v>
      </c>
      <c r="AC14" s="117">
        <v>700</v>
      </c>
      <c r="AD14" s="117"/>
      <c r="AE14" s="117"/>
      <c r="AF14" s="117"/>
      <c r="AG14" s="137"/>
      <c r="AH14" s="117"/>
      <c r="AI14" s="137"/>
      <c r="AJ14" s="137"/>
      <c r="AK14" s="137"/>
      <c r="AL14" s="137">
        <v>17361</v>
      </c>
      <c r="AM14" s="137">
        <v>836</v>
      </c>
      <c r="AN14" s="3">
        <f t="shared" si="2"/>
        <v>565640</v>
      </c>
    </row>
    <row r="15" spans="1:40" ht="15.75">
      <c r="A15" s="117"/>
      <c r="B15" s="143">
        <f>SUM(B3:B14)</f>
        <v>5478620</v>
      </c>
      <c r="C15" s="143">
        <f t="shared" ref="C15:I15" si="3">SUM(C3:C14)</f>
        <v>5052069</v>
      </c>
      <c r="D15" s="143">
        <f t="shared" si="3"/>
        <v>-426551</v>
      </c>
      <c r="E15" s="143">
        <f t="shared" si="3"/>
        <v>746240</v>
      </c>
      <c r="F15" s="143">
        <f t="shared" si="3"/>
        <v>619381</v>
      </c>
      <c r="G15" s="143">
        <f t="shared" si="3"/>
        <v>126859</v>
      </c>
      <c r="H15" s="143">
        <f t="shared" si="3"/>
        <v>588113</v>
      </c>
      <c r="I15" s="143">
        <f t="shared" si="3"/>
        <v>765600</v>
      </c>
      <c r="J15" s="144">
        <f>SUM(J3:J14)</f>
        <v>410614</v>
      </c>
      <c r="K15" s="144">
        <f t="shared" ref="K15:AM15" si="4">SUM(K3:K14)</f>
        <v>611411</v>
      </c>
      <c r="L15" s="144">
        <f t="shared" si="4"/>
        <v>31000</v>
      </c>
      <c r="M15" s="144">
        <f t="shared" si="4"/>
        <v>365437</v>
      </c>
      <c r="N15" s="144">
        <f t="shared" si="4"/>
        <v>49400</v>
      </c>
      <c r="O15" s="144">
        <f t="shared" si="4"/>
        <v>80200</v>
      </c>
      <c r="P15" s="144">
        <f t="shared" si="4"/>
        <v>688102</v>
      </c>
      <c r="Q15" s="144">
        <f t="shared" si="4"/>
        <v>80029</v>
      </c>
      <c r="R15" s="144">
        <f t="shared" si="4"/>
        <v>40243</v>
      </c>
      <c r="S15" s="144">
        <f t="shared" si="4"/>
        <v>182719</v>
      </c>
      <c r="T15" s="144">
        <f t="shared" si="4"/>
        <v>0</v>
      </c>
      <c r="U15" s="144">
        <f t="shared" si="4"/>
        <v>20379</v>
      </c>
      <c r="V15" s="144">
        <f>SUM(V3:V14)</f>
        <v>31500</v>
      </c>
      <c r="W15" s="144">
        <f t="shared" si="4"/>
        <v>55635</v>
      </c>
      <c r="X15" s="144">
        <f t="shared" si="4"/>
        <v>60000</v>
      </c>
      <c r="Y15" s="144">
        <f t="shared" si="4"/>
        <v>26504</v>
      </c>
      <c r="Z15" s="144">
        <f t="shared" si="4"/>
        <v>4935</v>
      </c>
      <c r="AA15" s="144">
        <f t="shared" si="4"/>
        <v>7555</v>
      </c>
      <c r="AB15" s="144">
        <f t="shared" si="4"/>
        <v>32505</v>
      </c>
      <c r="AC15" s="144">
        <f t="shared" si="4"/>
        <v>12303</v>
      </c>
      <c r="AD15" s="144">
        <f t="shared" si="4"/>
        <v>36000</v>
      </c>
      <c r="AE15" s="144">
        <f t="shared" si="4"/>
        <v>32104</v>
      </c>
      <c r="AF15" s="144">
        <f t="shared" si="4"/>
        <v>205233</v>
      </c>
      <c r="AG15" s="144">
        <f t="shared" si="4"/>
        <v>400368</v>
      </c>
      <c r="AH15" s="144">
        <f t="shared" si="4"/>
        <v>35402</v>
      </c>
      <c r="AI15" s="144">
        <f t="shared" si="4"/>
        <v>37500</v>
      </c>
      <c r="AJ15" s="144">
        <f t="shared" si="4"/>
        <v>104925</v>
      </c>
      <c r="AK15" s="144">
        <f t="shared" si="4"/>
        <v>144574</v>
      </c>
      <c r="AL15" s="144">
        <f t="shared" si="4"/>
        <v>1445473</v>
      </c>
      <c r="AM15" s="144">
        <f t="shared" si="4"/>
        <v>6836</v>
      </c>
      <c r="AN15" s="144">
        <f t="shared" ref="AN15" si="5">SUM(B15:AM15)</f>
        <v>18189217</v>
      </c>
    </row>
    <row r="19" spans="7:7">
      <c r="G19" s="117"/>
    </row>
    <row r="20" spans="7:7">
      <c r="G20" s="117"/>
    </row>
    <row r="21" spans="7:7">
      <c r="G21" s="117"/>
    </row>
    <row r="22" spans="7:7">
      <c r="G22" s="117"/>
    </row>
    <row r="23" spans="7:7">
      <c r="G23" s="117"/>
    </row>
    <row r="24" spans="7:7">
      <c r="G24" s="117"/>
    </row>
    <row r="25" spans="7:7">
      <c r="G25" s="117"/>
    </row>
    <row r="26" spans="7:7">
      <c r="G26" s="117"/>
    </row>
  </sheetData>
  <pageMargins left="0.7" right="0.7" top="0.75" bottom="0.75" header="0.3" footer="0.3"/>
  <pageSetup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20"/>
  <sheetViews>
    <sheetView topLeftCell="Q1" workbookViewId="0">
      <selection sqref="A1:AH20"/>
    </sheetView>
  </sheetViews>
  <sheetFormatPr defaultRowHeight="15"/>
  <cols>
    <col min="2" max="3" width="11.28515625" bestFit="1" customWidth="1"/>
    <col min="4" max="4" width="9.28515625" bestFit="1" customWidth="1"/>
    <col min="5" max="6" width="9.85546875" bestFit="1" customWidth="1"/>
    <col min="7" max="7" width="9.28515625" bestFit="1" customWidth="1"/>
    <col min="8" max="8" width="9.85546875" bestFit="1" customWidth="1"/>
    <col min="9" max="9" width="9.28515625" bestFit="1" customWidth="1"/>
    <col min="10" max="10" width="9.85546875" bestFit="1" customWidth="1"/>
    <col min="11" max="11" width="9.28515625" bestFit="1" customWidth="1"/>
    <col min="12" max="13" width="9.85546875" bestFit="1" customWidth="1"/>
    <col min="14" max="15" width="9.28515625" bestFit="1" customWidth="1"/>
    <col min="16" max="16" width="9.85546875" bestFit="1" customWidth="1"/>
    <col min="17" max="24" width="9.28515625" bestFit="1" customWidth="1"/>
    <col min="25" max="25" width="9.85546875" bestFit="1" customWidth="1"/>
    <col min="26" max="32" width="9.28515625" bestFit="1" customWidth="1"/>
    <col min="33" max="33" width="12.42578125" customWidth="1"/>
    <col min="34" max="34" width="12.85546875" customWidth="1"/>
  </cols>
  <sheetData>
    <row r="1" spans="1:34">
      <c r="A1" s="2" t="s">
        <v>22</v>
      </c>
      <c r="B1" s="2" t="s">
        <v>23</v>
      </c>
      <c r="C1" s="2" t="s">
        <v>218</v>
      </c>
      <c r="D1" s="2" t="s">
        <v>219</v>
      </c>
      <c r="E1" s="2" t="s">
        <v>4</v>
      </c>
      <c r="F1" s="2" t="s">
        <v>5</v>
      </c>
      <c r="G1" s="2" t="s">
        <v>162</v>
      </c>
      <c r="H1" s="2" t="s">
        <v>161</v>
      </c>
      <c r="I1" s="2" t="s">
        <v>220</v>
      </c>
      <c r="J1" s="2" t="s">
        <v>163</v>
      </c>
      <c r="K1" s="2" t="s">
        <v>221</v>
      </c>
      <c r="L1" s="2" t="s">
        <v>31</v>
      </c>
      <c r="M1" s="2" t="s">
        <v>58</v>
      </c>
      <c r="N1" s="2" t="s">
        <v>24</v>
      </c>
      <c r="O1" s="2" t="s">
        <v>57</v>
      </c>
      <c r="P1" s="2" t="s">
        <v>26</v>
      </c>
      <c r="Q1" s="2" t="s">
        <v>70</v>
      </c>
      <c r="R1" s="2" t="s">
        <v>32</v>
      </c>
      <c r="S1" s="2" t="s">
        <v>11</v>
      </c>
      <c r="T1" s="2" t="s">
        <v>128</v>
      </c>
      <c r="U1" s="2" t="s">
        <v>66</v>
      </c>
      <c r="V1" s="2" t="s">
        <v>222</v>
      </c>
      <c r="W1" s="2" t="s">
        <v>118</v>
      </c>
      <c r="X1" s="2" t="s">
        <v>59</v>
      </c>
      <c r="Y1" s="2" t="s">
        <v>95</v>
      </c>
      <c r="Z1" s="2" t="s">
        <v>29</v>
      </c>
      <c r="AA1" s="2" t="s">
        <v>61</v>
      </c>
      <c r="AB1" s="2" t="s">
        <v>28</v>
      </c>
      <c r="AC1" s="2" t="s">
        <v>27</v>
      </c>
      <c r="AD1" s="2" t="s">
        <v>34</v>
      </c>
      <c r="AE1" s="2" t="s">
        <v>223</v>
      </c>
      <c r="AF1" s="2" t="s">
        <v>224</v>
      </c>
      <c r="AG1" s="2" t="s">
        <v>164</v>
      </c>
      <c r="AH1" s="138" t="s">
        <v>211</v>
      </c>
    </row>
    <row r="2" spans="1:34">
      <c r="A2" s="2"/>
      <c r="B2" s="2" t="s">
        <v>225</v>
      </c>
      <c r="C2" s="2" t="s">
        <v>226</v>
      </c>
      <c r="D2" s="2" t="s">
        <v>227</v>
      </c>
      <c r="E2" s="2"/>
      <c r="F2" s="2"/>
      <c r="G2" s="2"/>
      <c r="H2" s="2"/>
      <c r="I2" s="2" t="s">
        <v>228</v>
      </c>
      <c r="J2" s="2"/>
      <c r="K2" s="2" t="s">
        <v>229</v>
      </c>
      <c r="L2" s="2"/>
      <c r="M2" s="2"/>
      <c r="N2" s="2"/>
      <c r="O2" s="2"/>
      <c r="P2" s="2"/>
      <c r="Q2" s="2"/>
      <c r="R2" s="2"/>
      <c r="S2" s="2"/>
      <c r="T2" s="2"/>
      <c r="U2" s="2"/>
      <c r="V2" s="2" t="s">
        <v>71</v>
      </c>
      <c r="W2" s="2"/>
      <c r="X2" s="2"/>
      <c r="Y2" s="2"/>
      <c r="Z2" s="2"/>
      <c r="AA2" s="2"/>
      <c r="AB2" s="2"/>
      <c r="AC2" s="2"/>
      <c r="AD2" s="2"/>
      <c r="AE2" s="2" t="s">
        <v>194</v>
      </c>
      <c r="AF2" s="2"/>
      <c r="AG2" s="2"/>
      <c r="AH2" s="3"/>
    </row>
    <row r="3" spans="1:34">
      <c r="A3" s="100">
        <v>43207</v>
      </c>
      <c r="B3" s="3">
        <v>16870</v>
      </c>
      <c r="C3" s="3">
        <v>217568</v>
      </c>
      <c r="D3" s="3">
        <v>200698</v>
      </c>
      <c r="E3" s="3">
        <v>41900</v>
      </c>
      <c r="F3" s="3">
        <v>42694</v>
      </c>
      <c r="G3" s="3">
        <v>40000</v>
      </c>
      <c r="H3" s="3">
        <v>45000</v>
      </c>
      <c r="I3" s="3"/>
      <c r="J3" s="3">
        <v>60000</v>
      </c>
      <c r="K3" s="3"/>
      <c r="L3" s="3"/>
      <c r="M3" s="3"/>
      <c r="N3" s="3"/>
      <c r="O3" s="3">
        <v>7150</v>
      </c>
      <c r="P3" s="3">
        <v>40041</v>
      </c>
      <c r="Q3" s="3">
        <v>1920</v>
      </c>
      <c r="R3" s="3">
        <v>2000</v>
      </c>
      <c r="S3" s="3">
        <v>575</v>
      </c>
      <c r="T3" s="3"/>
      <c r="U3" s="3">
        <v>431</v>
      </c>
      <c r="V3" s="3"/>
      <c r="W3" s="3">
        <v>280</v>
      </c>
      <c r="X3" s="3"/>
      <c r="Y3" s="3"/>
      <c r="Z3" s="3">
        <v>556</v>
      </c>
      <c r="AA3" s="3">
        <v>500</v>
      </c>
      <c r="AB3" s="3">
        <v>4516</v>
      </c>
      <c r="AC3" s="3">
        <v>650</v>
      </c>
      <c r="AD3" s="3"/>
      <c r="AE3" s="3"/>
      <c r="AF3" s="3"/>
      <c r="AG3" s="3"/>
      <c r="AH3" s="139">
        <f>SUM(B3+E3+F3+G3+H3+I3+J3+K3+L3+M3+N3+O3+P3+Q3+R3+S3+T3+U3+V3+W3+X3+Y3+AA3+AB3+AC3+AD3+AE3+AF3+AG3)</f>
        <v>304527</v>
      </c>
    </row>
    <row r="4" spans="1:34">
      <c r="A4" s="100">
        <v>43237</v>
      </c>
      <c r="B4" s="3">
        <v>447560</v>
      </c>
      <c r="C4" s="3">
        <v>379319</v>
      </c>
      <c r="D4" s="3">
        <v>-68241</v>
      </c>
      <c r="E4" s="3">
        <v>39900</v>
      </c>
      <c r="F4" s="3">
        <v>42694</v>
      </c>
      <c r="G4" s="3"/>
      <c r="H4" s="3"/>
      <c r="I4" s="3"/>
      <c r="J4" s="3">
        <v>324300</v>
      </c>
      <c r="K4" s="3"/>
      <c r="L4" s="3"/>
      <c r="M4" s="3"/>
      <c r="N4" s="3"/>
      <c r="O4" s="3">
        <v>30500</v>
      </c>
      <c r="P4" s="3">
        <v>7805</v>
      </c>
      <c r="Q4" s="3">
        <v>457</v>
      </c>
      <c r="R4" s="3">
        <v>1000</v>
      </c>
      <c r="S4" s="3">
        <v>0</v>
      </c>
      <c r="T4" s="3"/>
      <c r="U4" s="3">
        <v>1656</v>
      </c>
      <c r="V4" s="3"/>
      <c r="W4" s="3">
        <v>657</v>
      </c>
      <c r="X4" s="3"/>
      <c r="Y4" s="3"/>
      <c r="Z4" s="3">
        <v>563</v>
      </c>
      <c r="AA4" s="3">
        <v>5255</v>
      </c>
      <c r="AB4" s="3">
        <v>969</v>
      </c>
      <c r="AC4" s="3">
        <v>350</v>
      </c>
      <c r="AD4" s="3"/>
      <c r="AE4" s="3"/>
      <c r="AF4" s="3"/>
      <c r="AG4" s="3"/>
      <c r="AH4" s="139">
        <f t="shared" ref="AH4:AH15" si="0">SUM(B4+E4+F4+G4+H4+I4+J4+K4+L4+M4+N4+O4+P4+Q4+R4+S4+T4+U4+V4+W4+X4+Y4+AA4+AB4+AC4+AD4+AE4+AF4+AG4)</f>
        <v>903103</v>
      </c>
    </row>
    <row r="5" spans="1:34">
      <c r="A5" s="100">
        <v>43268</v>
      </c>
      <c r="B5" s="3">
        <v>624340</v>
      </c>
      <c r="C5" s="3">
        <v>605877</v>
      </c>
      <c r="D5" s="3">
        <v>-18463</v>
      </c>
      <c r="E5" s="3">
        <v>41900</v>
      </c>
      <c r="F5" s="3">
        <v>42694</v>
      </c>
      <c r="G5" s="3"/>
      <c r="H5" s="3"/>
      <c r="I5" s="3"/>
      <c r="J5" s="3">
        <v>156872</v>
      </c>
      <c r="K5" s="3"/>
      <c r="L5" s="3"/>
      <c r="M5" s="3"/>
      <c r="N5" s="3"/>
      <c r="O5" s="3">
        <v>5050</v>
      </c>
      <c r="P5" s="3">
        <v>13125</v>
      </c>
      <c r="Q5" s="3">
        <v>340</v>
      </c>
      <c r="R5" s="3">
        <v>2463</v>
      </c>
      <c r="S5" s="3">
        <v>1000</v>
      </c>
      <c r="T5" s="3"/>
      <c r="U5" s="3">
        <v>3559</v>
      </c>
      <c r="V5" s="3">
        <v>30500</v>
      </c>
      <c r="W5" s="3">
        <v>2085</v>
      </c>
      <c r="X5" s="3"/>
      <c r="Y5" s="3">
        <v>35500</v>
      </c>
      <c r="Z5" s="3">
        <v>552</v>
      </c>
      <c r="AA5" s="3">
        <v>500</v>
      </c>
      <c r="AB5" s="3">
        <v>1618</v>
      </c>
      <c r="AC5" s="3">
        <v>500</v>
      </c>
      <c r="AD5" s="3"/>
      <c r="AE5" s="3"/>
      <c r="AF5" s="3"/>
      <c r="AG5" s="3"/>
      <c r="AH5" s="139">
        <f t="shared" si="0"/>
        <v>962046</v>
      </c>
    </row>
    <row r="6" spans="1:34">
      <c r="A6" s="100">
        <v>43298</v>
      </c>
      <c r="B6" s="3">
        <v>619570</v>
      </c>
      <c r="C6" s="3">
        <v>548179</v>
      </c>
      <c r="D6" s="3">
        <v>-71391</v>
      </c>
      <c r="E6" s="3">
        <v>41900</v>
      </c>
      <c r="F6" s="3">
        <v>42694</v>
      </c>
      <c r="G6" s="3"/>
      <c r="H6" s="3"/>
      <c r="I6" s="3"/>
      <c r="J6" s="3">
        <v>30000</v>
      </c>
      <c r="K6" s="3"/>
      <c r="L6" s="3"/>
      <c r="M6" s="3"/>
      <c r="N6" s="3"/>
      <c r="O6" s="3">
        <v>7550</v>
      </c>
      <c r="P6" s="3">
        <v>15735</v>
      </c>
      <c r="Q6" s="3">
        <v>14761</v>
      </c>
      <c r="R6" s="3">
        <v>10717</v>
      </c>
      <c r="S6" s="3">
        <v>500</v>
      </c>
      <c r="T6" s="3"/>
      <c r="U6" s="3">
        <v>431</v>
      </c>
      <c r="V6" s="3"/>
      <c r="W6" s="3">
        <v>8650</v>
      </c>
      <c r="X6" s="3"/>
      <c r="Y6" s="3">
        <v>14450</v>
      </c>
      <c r="Z6" s="3">
        <v>692</v>
      </c>
      <c r="AA6" s="3">
        <v>500</v>
      </c>
      <c r="AB6" s="3">
        <v>37</v>
      </c>
      <c r="AC6" s="3">
        <v>450</v>
      </c>
      <c r="AD6" s="3"/>
      <c r="AE6" s="3"/>
      <c r="AF6" s="3"/>
      <c r="AG6" s="3"/>
      <c r="AH6" s="139">
        <f t="shared" si="0"/>
        <v>807945</v>
      </c>
    </row>
    <row r="7" spans="1:34">
      <c r="A7" s="100">
        <v>43329</v>
      </c>
      <c r="B7" s="3">
        <v>617120</v>
      </c>
      <c r="C7" s="3">
        <v>609634</v>
      </c>
      <c r="D7" s="3">
        <v>-7486</v>
      </c>
      <c r="E7" s="3">
        <v>33900</v>
      </c>
      <c r="F7" s="3">
        <v>47604</v>
      </c>
      <c r="G7" s="3"/>
      <c r="H7" s="3">
        <v>89000</v>
      </c>
      <c r="I7" s="3"/>
      <c r="J7" s="3">
        <v>38850</v>
      </c>
      <c r="K7" s="3"/>
      <c r="L7" s="3"/>
      <c r="M7" s="3">
        <v>333807</v>
      </c>
      <c r="N7" s="3"/>
      <c r="O7" s="3">
        <v>6000</v>
      </c>
      <c r="P7" s="3">
        <v>52420</v>
      </c>
      <c r="Q7" s="3">
        <v>0</v>
      </c>
      <c r="R7" s="3">
        <v>1796</v>
      </c>
      <c r="S7" s="3">
        <v>370</v>
      </c>
      <c r="T7" s="3"/>
      <c r="U7" s="3">
        <v>5140</v>
      </c>
      <c r="V7" s="3"/>
      <c r="W7" s="3">
        <v>13385</v>
      </c>
      <c r="X7" s="3"/>
      <c r="Y7" s="3">
        <v>54000</v>
      </c>
      <c r="Z7" s="3">
        <v>572</v>
      </c>
      <c r="AA7" s="3">
        <v>500</v>
      </c>
      <c r="AB7" s="3">
        <v>1857</v>
      </c>
      <c r="AC7" s="3">
        <v>600</v>
      </c>
      <c r="AD7" s="3"/>
      <c r="AE7" s="3"/>
      <c r="AF7" s="3"/>
      <c r="AG7" s="3"/>
      <c r="AH7" s="139">
        <f t="shared" si="0"/>
        <v>1296349</v>
      </c>
    </row>
    <row r="8" spans="1:34">
      <c r="A8" s="100">
        <v>43360</v>
      </c>
      <c r="B8" s="3">
        <v>0</v>
      </c>
      <c r="C8" s="3">
        <v>499225</v>
      </c>
      <c r="D8" s="3">
        <v>499225</v>
      </c>
      <c r="E8" s="3">
        <v>41900</v>
      </c>
      <c r="F8" s="3">
        <v>47604</v>
      </c>
      <c r="G8" s="3"/>
      <c r="H8" s="3"/>
      <c r="I8" s="3">
        <v>2370</v>
      </c>
      <c r="J8" s="3">
        <v>63900</v>
      </c>
      <c r="K8" s="3"/>
      <c r="L8" s="3"/>
      <c r="M8" s="3"/>
      <c r="N8" s="3"/>
      <c r="O8" s="3">
        <v>13600</v>
      </c>
      <c r="P8" s="3">
        <v>15738</v>
      </c>
      <c r="Q8" s="3">
        <v>5020</v>
      </c>
      <c r="R8" s="3">
        <v>2600</v>
      </c>
      <c r="S8" s="3">
        <v>2100</v>
      </c>
      <c r="T8" s="3"/>
      <c r="U8" s="3">
        <v>481</v>
      </c>
      <c r="V8" s="3"/>
      <c r="W8" s="3">
        <v>1800</v>
      </c>
      <c r="X8" s="3"/>
      <c r="Y8" s="3">
        <v>10000</v>
      </c>
      <c r="Z8" s="3">
        <v>532</v>
      </c>
      <c r="AA8" s="3">
        <v>1496</v>
      </c>
      <c r="AB8" s="3">
        <v>4340</v>
      </c>
      <c r="AC8" s="3">
        <v>550</v>
      </c>
      <c r="AD8" s="3"/>
      <c r="AE8" s="3"/>
      <c r="AF8" s="3"/>
      <c r="AG8" s="3"/>
      <c r="AH8" s="139">
        <f t="shared" si="0"/>
        <v>213499</v>
      </c>
    </row>
    <row r="9" spans="1:34">
      <c r="A9" s="100">
        <v>43390</v>
      </c>
      <c r="B9" s="3">
        <v>418850</v>
      </c>
      <c r="C9" s="3">
        <v>484998</v>
      </c>
      <c r="D9" s="3">
        <v>66148</v>
      </c>
      <c r="E9" s="3">
        <v>41900</v>
      </c>
      <c r="F9" s="3">
        <v>47604</v>
      </c>
      <c r="G9" s="3"/>
      <c r="H9" s="3"/>
      <c r="I9" s="3"/>
      <c r="J9" s="3">
        <v>78300</v>
      </c>
      <c r="K9" s="3"/>
      <c r="L9" s="3"/>
      <c r="M9" s="3"/>
      <c r="N9" s="3"/>
      <c r="O9" s="3">
        <v>0</v>
      </c>
      <c r="P9" s="3">
        <v>15350</v>
      </c>
      <c r="Q9" s="3">
        <v>13205</v>
      </c>
      <c r="R9" s="3">
        <v>3917</v>
      </c>
      <c r="S9" s="3">
        <v>1300</v>
      </c>
      <c r="T9" s="3"/>
      <c r="U9" s="3">
        <v>1181</v>
      </c>
      <c r="V9" s="3"/>
      <c r="W9" s="3">
        <v>1400</v>
      </c>
      <c r="X9" s="3">
        <v>1680</v>
      </c>
      <c r="Y9" s="3">
        <v>37970</v>
      </c>
      <c r="Z9" s="3">
        <v>11839</v>
      </c>
      <c r="AA9" s="3">
        <v>500</v>
      </c>
      <c r="AB9" s="3">
        <v>1065</v>
      </c>
      <c r="AC9" s="3">
        <v>870</v>
      </c>
      <c r="AD9" s="3"/>
      <c r="AE9" s="3"/>
      <c r="AF9" s="3"/>
      <c r="AG9" s="3">
        <v>10480</v>
      </c>
      <c r="AH9" s="139">
        <f t="shared" si="0"/>
        <v>675572</v>
      </c>
    </row>
    <row r="10" spans="1:34">
      <c r="A10" s="100">
        <v>43421</v>
      </c>
      <c r="B10" s="3">
        <v>283970</v>
      </c>
      <c r="C10" s="3">
        <v>248119</v>
      </c>
      <c r="D10" s="3">
        <v>-35851</v>
      </c>
      <c r="E10" s="3">
        <v>36700</v>
      </c>
      <c r="F10" s="3">
        <v>47604</v>
      </c>
      <c r="G10" s="3"/>
      <c r="H10" s="3">
        <v>78270</v>
      </c>
      <c r="I10" s="3">
        <v>4960</v>
      </c>
      <c r="J10" s="3"/>
      <c r="K10" s="3">
        <v>31000</v>
      </c>
      <c r="L10" s="3">
        <v>938033</v>
      </c>
      <c r="M10" s="3"/>
      <c r="N10" s="3">
        <v>46973</v>
      </c>
      <c r="O10" s="3">
        <v>0</v>
      </c>
      <c r="P10" s="3">
        <v>25100</v>
      </c>
      <c r="Q10" s="3">
        <v>2595</v>
      </c>
      <c r="R10" s="3">
        <v>1455</v>
      </c>
      <c r="S10" s="3">
        <v>20230</v>
      </c>
      <c r="T10" s="3"/>
      <c r="U10" s="3">
        <v>1881</v>
      </c>
      <c r="V10" s="3"/>
      <c r="W10" s="3"/>
      <c r="X10" s="3">
        <v>490</v>
      </c>
      <c r="Y10" s="3"/>
      <c r="Z10" s="3">
        <v>432</v>
      </c>
      <c r="AA10" s="3">
        <v>545</v>
      </c>
      <c r="AB10" s="3">
        <v>4510</v>
      </c>
      <c r="AC10" s="3">
        <v>350</v>
      </c>
      <c r="AD10" s="3">
        <v>12032</v>
      </c>
      <c r="AE10" s="3"/>
      <c r="AF10" s="3"/>
      <c r="AG10" s="3"/>
      <c r="AH10" s="139">
        <f t="shared" si="0"/>
        <v>1536698</v>
      </c>
    </row>
    <row r="11" spans="1:34">
      <c r="A11" s="100">
        <v>43451</v>
      </c>
      <c r="B11" s="3">
        <v>436760</v>
      </c>
      <c r="C11" s="3">
        <v>309220</v>
      </c>
      <c r="D11" s="3">
        <v>-127540</v>
      </c>
      <c r="E11" s="3">
        <v>51900</v>
      </c>
      <c r="F11" s="3">
        <v>47604</v>
      </c>
      <c r="G11" s="3"/>
      <c r="H11" s="3"/>
      <c r="I11" s="3"/>
      <c r="J11" s="3"/>
      <c r="K11" s="3"/>
      <c r="L11" s="3"/>
      <c r="M11" s="3"/>
      <c r="N11" s="3">
        <v>2349</v>
      </c>
      <c r="O11" s="3">
        <v>3000</v>
      </c>
      <c r="P11" s="3">
        <v>1925</v>
      </c>
      <c r="Q11" s="3">
        <v>0</v>
      </c>
      <c r="R11" s="3">
        <v>1891</v>
      </c>
      <c r="S11" s="3">
        <v>996</v>
      </c>
      <c r="T11" s="3"/>
      <c r="U11" s="3">
        <v>481</v>
      </c>
      <c r="V11" s="3"/>
      <c r="W11" s="3">
        <v>0</v>
      </c>
      <c r="X11" s="3">
        <v>540</v>
      </c>
      <c r="Y11" s="3">
        <v>0</v>
      </c>
      <c r="Z11" s="3">
        <v>444</v>
      </c>
      <c r="AA11" s="3">
        <v>1082</v>
      </c>
      <c r="AB11" s="3">
        <v>272</v>
      </c>
      <c r="AC11" s="3">
        <v>350</v>
      </c>
      <c r="AD11" s="3"/>
      <c r="AE11" s="3"/>
      <c r="AF11" s="3"/>
      <c r="AG11" s="3"/>
      <c r="AH11" s="139">
        <f t="shared" si="0"/>
        <v>549150</v>
      </c>
    </row>
    <row r="12" spans="1:34">
      <c r="A12" s="100">
        <v>43118</v>
      </c>
      <c r="B12" s="3">
        <v>357740</v>
      </c>
      <c r="C12" s="3">
        <v>275475</v>
      </c>
      <c r="D12" s="3">
        <v>-82265</v>
      </c>
      <c r="E12" s="3">
        <v>42100</v>
      </c>
      <c r="F12" s="3">
        <v>47604</v>
      </c>
      <c r="G12" s="3"/>
      <c r="H12" s="3"/>
      <c r="I12" s="3"/>
      <c r="J12" s="3"/>
      <c r="K12" s="3"/>
      <c r="L12" s="3"/>
      <c r="M12" s="3"/>
      <c r="N12" s="3"/>
      <c r="O12" s="3">
        <v>3000</v>
      </c>
      <c r="P12" s="3">
        <v>19020</v>
      </c>
      <c r="Q12" s="3">
        <v>3210</v>
      </c>
      <c r="R12" s="3">
        <v>3386</v>
      </c>
      <c r="S12" s="3">
        <v>0</v>
      </c>
      <c r="T12" s="3"/>
      <c r="U12" s="3">
        <v>481</v>
      </c>
      <c r="V12" s="3"/>
      <c r="W12" s="3">
        <v>15800</v>
      </c>
      <c r="X12" s="3">
        <v>525</v>
      </c>
      <c r="Y12" s="3"/>
      <c r="Z12" s="3">
        <v>561</v>
      </c>
      <c r="AA12" s="3">
        <v>500</v>
      </c>
      <c r="AB12" s="3">
        <v>1688</v>
      </c>
      <c r="AC12" s="3">
        <v>650</v>
      </c>
      <c r="AD12" s="3"/>
      <c r="AE12" s="3"/>
      <c r="AF12" s="3">
        <v>4030</v>
      </c>
      <c r="AG12" s="3"/>
      <c r="AH12" s="139">
        <f t="shared" si="0"/>
        <v>499734</v>
      </c>
    </row>
    <row r="13" spans="1:34">
      <c r="A13" s="100">
        <v>43149</v>
      </c>
      <c r="B13" s="3">
        <v>447960</v>
      </c>
      <c r="C13" s="3">
        <v>314311</v>
      </c>
      <c r="D13" s="3">
        <v>-133649</v>
      </c>
      <c r="E13" s="3">
        <v>43900</v>
      </c>
      <c r="F13" s="3">
        <v>47604</v>
      </c>
      <c r="G13" s="3"/>
      <c r="H13" s="3"/>
      <c r="I13" s="3"/>
      <c r="J13" s="3"/>
      <c r="K13" s="3"/>
      <c r="L13" s="3"/>
      <c r="M13" s="3"/>
      <c r="N13" s="3"/>
      <c r="O13" s="3">
        <v>0</v>
      </c>
      <c r="P13" s="3">
        <v>9630</v>
      </c>
      <c r="Q13" s="3">
        <v>4960</v>
      </c>
      <c r="R13" s="3">
        <v>3393</v>
      </c>
      <c r="S13" s="3">
        <v>0</v>
      </c>
      <c r="T13" s="3"/>
      <c r="U13" s="3">
        <v>481</v>
      </c>
      <c r="V13" s="3"/>
      <c r="W13" s="3">
        <v>0</v>
      </c>
      <c r="X13" s="3">
        <v>525</v>
      </c>
      <c r="Y13" s="3">
        <v>0</v>
      </c>
      <c r="Z13" s="3">
        <v>0</v>
      </c>
      <c r="AA13" s="3">
        <v>500</v>
      </c>
      <c r="AB13" s="3">
        <v>0</v>
      </c>
      <c r="AC13" s="3">
        <v>1170</v>
      </c>
      <c r="AD13" s="3"/>
      <c r="AE13" s="3"/>
      <c r="AF13" s="3"/>
      <c r="AG13" s="3"/>
      <c r="AH13" s="139">
        <f t="shared" si="0"/>
        <v>560123</v>
      </c>
    </row>
    <row r="14" spans="1:34">
      <c r="A14" s="100">
        <v>43177</v>
      </c>
      <c r="B14" s="3">
        <v>430370</v>
      </c>
      <c r="C14" s="3">
        <v>274622</v>
      </c>
      <c r="D14" s="3">
        <v>-155748</v>
      </c>
      <c r="E14" s="3">
        <v>43900</v>
      </c>
      <c r="F14" s="3">
        <v>47604</v>
      </c>
      <c r="G14" s="3"/>
      <c r="H14" s="3"/>
      <c r="I14" s="3"/>
      <c r="J14" s="3"/>
      <c r="K14" s="3"/>
      <c r="L14" s="3"/>
      <c r="M14" s="3"/>
      <c r="N14" s="3"/>
      <c r="O14" s="3">
        <v>12050</v>
      </c>
      <c r="P14" s="3">
        <v>74000</v>
      </c>
      <c r="Q14" s="3">
        <v>5430</v>
      </c>
      <c r="R14" s="3">
        <v>1835</v>
      </c>
      <c r="S14" s="3">
        <v>850</v>
      </c>
      <c r="T14" s="3"/>
      <c r="U14" s="3">
        <v>991</v>
      </c>
      <c r="V14" s="3"/>
      <c r="W14" s="3">
        <v>13038</v>
      </c>
      <c r="X14" s="3">
        <v>995</v>
      </c>
      <c r="Y14" s="3">
        <v>35960</v>
      </c>
      <c r="Z14" s="3">
        <v>844</v>
      </c>
      <c r="AA14" s="3">
        <v>500</v>
      </c>
      <c r="AB14" s="3">
        <v>2710</v>
      </c>
      <c r="AC14" s="3">
        <v>600</v>
      </c>
      <c r="AD14" s="3"/>
      <c r="AE14" s="3"/>
      <c r="AF14" s="3">
        <v>1202</v>
      </c>
      <c r="AG14" s="3"/>
      <c r="AH14" s="139">
        <f t="shared" si="0"/>
        <v>672035</v>
      </c>
    </row>
    <row r="15" spans="1:34" ht="18.75">
      <c r="A15" s="3"/>
      <c r="B15" s="101">
        <f>SUM(B3:B14)</f>
        <v>4701110</v>
      </c>
      <c r="C15" s="101">
        <f t="shared" ref="C15:AG15" si="1">SUM(C3:C14)</f>
        <v>4766547</v>
      </c>
      <c r="D15" s="101">
        <f t="shared" si="1"/>
        <v>65437</v>
      </c>
      <c r="E15" s="101">
        <f t="shared" si="1"/>
        <v>501800</v>
      </c>
      <c r="F15" s="101">
        <f>SUM(F3:F14)</f>
        <v>551608</v>
      </c>
      <c r="G15" s="101">
        <f t="shared" si="1"/>
        <v>40000</v>
      </c>
      <c r="H15" s="101">
        <f t="shared" si="1"/>
        <v>212270</v>
      </c>
      <c r="I15" s="101">
        <f t="shared" si="1"/>
        <v>7330</v>
      </c>
      <c r="J15" s="101">
        <f t="shared" si="1"/>
        <v>752222</v>
      </c>
      <c r="K15" s="101">
        <f t="shared" si="1"/>
        <v>31000</v>
      </c>
      <c r="L15" s="101">
        <f t="shared" si="1"/>
        <v>938033</v>
      </c>
      <c r="M15" s="101">
        <f t="shared" si="1"/>
        <v>333807</v>
      </c>
      <c r="N15" s="101">
        <f t="shared" si="1"/>
        <v>49322</v>
      </c>
      <c r="O15" s="101">
        <f t="shared" si="1"/>
        <v>87900</v>
      </c>
      <c r="P15" s="101">
        <f t="shared" si="1"/>
        <v>289889</v>
      </c>
      <c r="Q15" s="101">
        <f t="shared" si="1"/>
        <v>51898</v>
      </c>
      <c r="R15" s="101">
        <f t="shared" si="1"/>
        <v>36453</v>
      </c>
      <c r="S15" s="101">
        <f t="shared" si="1"/>
        <v>27921</v>
      </c>
      <c r="T15" s="101">
        <f t="shared" si="1"/>
        <v>0</v>
      </c>
      <c r="U15" s="101">
        <f t="shared" si="1"/>
        <v>17194</v>
      </c>
      <c r="V15" s="101">
        <f t="shared" si="1"/>
        <v>30500</v>
      </c>
      <c r="W15" s="101">
        <f t="shared" si="1"/>
        <v>57095</v>
      </c>
      <c r="X15" s="101">
        <f t="shared" si="1"/>
        <v>4755</v>
      </c>
      <c r="Y15" s="101">
        <f t="shared" si="1"/>
        <v>187880</v>
      </c>
      <c r="Z15" s="101">
        <f t="shared" si="1"/>
        <v>17587</v>
      </c>
      <c r="AA15" s="101">
        <f t="shared" si="1"/>
        <v>12378</v>
      </c>
      <c r="AB15" s="101">
        <f t="shared" si="1"/>
        <v>23582</v>
      </c>
      <c r="AC15" s="101">
        <f t="shared" si="1"/>
        <v>7090</v>
      </c>
      <c r="AD15" s="101">
        <f t="shared" si="1"/>
        <v>12032</v>
      </c>
      <c r="AE15" s="101">
        <f t="shared" si="1"/>
        <v>0</v>
      </c>
      <c r="AF15" s="101">
        <f t="shared" si="1"/>
        <v>5232</v>
      </c>
      <c r="AG15" s="101">
        <f t="shared" si="1"/>
        <v>10480</v>
      </c>
      <c r="AH15" s="140">
        <f t="shared" si="0"/>
        <v>8980781</v>
      </c>
    </row>
    <row r="16" spans="1:34" ht="18.75">
      <c r="A16" s="3"/>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3"/>
    </row>
    <row r="17" spans="1:33">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c r="E18">
        <v>548400</v>
      </c>
      <c r="F18">
        <v>498025</v>
      </c>
      <c r="O18">
        <v>73800</v>
      </c>
      <c r="P18">
        <v>338609</v>
      </c>
    </row>
    <row r="19" spans="1:33">
      <c r="E19">
        <v>372820</v>
      </c>
      <c r="F19">
        <v>430360</v>
      </c>
      <c r="O19">
        <v>113088</v>
      </c>
      <c r="P19">
        <v>210274</v>
      </c>
    </row>
    <row r="20" spans="1:33">
      <c r="E20">
        <v>404480</v>
      </c>
      <c r="F20">
        <v>313412</v>
      </c>
      <c r="O20">
        <v>141849</v>
      </c>
      <c r="P20">
        <v>133602</v>
      </c>
    </row>
  </sheetData>
  <pageMargins left="0.7" right="0.7" top="0.75" bottom="0.75" header="0.3" footer="0.3"/>
  <pageSetup paperSize="9" scale="75" fitToHeight="5" orientation="landscape" horizontalDpi="4294967293" verticalDpi="4294967293"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H27"/>
  <sheetViews>
    <sheetView tabSelected="1" workbookViewId="0">
      <selection activeCell="M16" sqref="M16"/>
    </sheetView>
  </sheetViews>
  <sheetFormatPr defaultRowHeight="15"/>
  <cols>
    <col min="2" max="2" width="10.28515625" bestFit="1" customWidth="1"/>
    <col min="3" max="3" width="14.28515625" bestFit="1" customWidth="1"/>
    <col min="4" max="4" width="11" bestFit="1" customWidth="1"/>
    <col min="7" max="7" width="10.28515625" customWidth="1"/>
    <col min="13" max="13" width="16.140625" bestFit="1" customWidth="1"/>
    <col min="14" max="14" width="13.7109375" bestFit="1" customWidth="1"/>
    <col min="15" max="15" width="12.85546875" bestFit="1" customWidth="1"/>
    <col min="16" max="16" width="11.7109375" bestFit="1" customWidth="1"/>
    <col min="18" max="19" width="12.85546875" customWidth="1"/>
    <col min="22" max="22" width="12.5703125" customWidth="1"/>
    <col min="23" max="23" width="16.85546875" bestFit="1" customWidth="1"/>
    <col min="24" max="24" width="17.140625" customWidth="1"/>
    <col min="25" max="25" width="13.140625" customWidth="1"/>
    <col min="26" max="26" width="13.28515625" customWidth="1"/>
    <col min="28" max="29" width="12.85546875" customWidth="1"/>
    <col min="30" max="30" width="9.7109375" customWidth="1"/>
    <col min="31" max="31" width="17.140625" customWidth="1"/>
    <col min="32" max="32" width="17.28515625" customWidth="1"/>
    <col min="33" max="33" width="15.7109375" customWidth="1"/>
    <col min="34" max="34" width="15" customWidth="1"/>
    <col min="36" max="36" width="9.85546875" bestFit="1" customWidth="1"/>
    <col min="37" max="37" width="9.85546875" customWidth="1"/>
    <col min="38" max="38" width="15.140625" customWidth="1"/>
    <col min="39" max="39" width="11.7109375" customWidth="1"/>
    <col min="40" max="40" width="12.28515625" bestFit="1" customWidth="1"/>
  </cols>
  <sheetData>
    <row r="1" spans="1:34">
      <c r="A1" s="115" t="s">
        <v>22</v>
      </c>
      <c r="B1" s="115" t="s">
        <v>23</v>
      </c>
      <c r="C1" s="115" t="s">
        <v>218</v>
      </c>
      <c r="D1" s="115" t="s">
        <v>260</v>
      </c>
      <c r="E1" s="115" t="s">
        <v>4</v>
      </c>
      <c r="F1" s="115" t="s">
        <v>5</v>
      </c>
      <c r="G1" s="115" t="s">
        <v>247</v>
      </c>
      <c r="H1" s="115" t="s">
        <v>254</v>
      </c>
      <c r="I1" s="115"/>
      <c r="J1" s="115" t="s">
        <v>58</v>
      </c>
      <c r="K1" s="115" t="s">
        <v>24</v>
      </c>
      <c r="L1" s="115" t="s">
        <v>57</v>
      </c>
      <c r="M1" s="115" t="s">
        <v>26</v>
      </c>
      <c r="N1" s="115" t="s">
        <v>70</v>
      </c>
      <c r="O1" s="115" t="s">
        <v>245</v>
      </c>
      <c r="P1" s="115" t="s">
        <v>11</v>
      </c>
      <c r="Q1" s="115" t="s">
        <v>128</v>
      </c>
      <c r="R1" s="115" t="s">
        <v>66</v>
      </c>
      <c r="S1" s="115" t="s">
        <v>222</v>
      </c>
      <c r="T1" s="115" t="s">
        <v>118</v>
      </c>
      <c r="U1" s="115" t="s">
        <v>59</v>
      </c>
      <c r="V1" s="115" t="s">
        <v>268</v>
      </c>
      <c r="W1" s="115" t="s">
        <v>29</v>
      </c>
      <c r="X1" s="115" t="s">
        <v>61</v>
      </c>
      <c r="Y1" s="115" t="s">
        <v>261</v>
      </c>
      <c r="Z1" s="115" t="s">
        <v>27</v>
      </c>
      <c r="AA1" s="115" t="s">
        <v>223</v>
      </c>
      <c r="AB1" s="115" t="s">
        <v>263</v>
      </c>
      <c r="AC1" s="135" t="s">
        <v>251</v>
      </c>
      <c r="AD1" s="135" t="s">
        <v>252</v>
      </c>
      <c r="AE1" s="135" t="s">
        <v>277</v>
      </c>
      <c r="AF1" s="135" t="s">
        <v>162</v>
      </c>
      <c r="AG1" s="135" t="s">
        <v>255</v>
      </c>
      <c r="AH1" s="135" t="s">
        <v>266</v>
      </c>
    </row>
    <row r="2" spans="1:34">
      <c r="A2" s="115"/>
      <c r="B2" s="115" t="s">
        <v>225</v>
      </c>
      <c r="C2" s="115" t="s">
        <v>226</v>
      </c>
      <c r="D2" s="115" t="s">
        <v>278</v>
      </c>
      <c r="E2" s="115"/>
      <c r="F2" s="115"/>
      <c r="G2" s="115" t="s">
        <v>53</v>
      </c>
      <c r="H2" s="115"/>
      <c r="I2" s="115" t="s">
        <v>229</v>
      </c>
      <c r="J2" s="115"/>
      <c r="K2" s="115"/>
      <c r="L2" s="115"/>
      <c r="M2" s="115"/>
      <c r="N2" s="115"/>
      <c r="O2" s="115"/>
      <c r="P2" s="115"/>
      <c r="Q2" s="115"/>
      <c r="R2" s="115"/>
      <c r="S2" s="115" t="s">
        <v>71</v>
      </c>
      <c r="T2" s="115"/>
      <c r="U2" s="115"/>
      <c r="V2" s="115"/>
      <c r="W2" s="115"/>
      <c r="X2" s="115"/>
      <c r="Y2" s="115"/>
      <c r="Z2" s="115"/>
      <c r="AA2" s="115" t="s">
        <v>269</v>
      </c>
      <c r="AB2" s="115"/>
      <c r="AC2" s="137"/>
      <c r="AD2" s="137"/>
      <c r="AE2" s="137"/>
      <c r="AF2" s="137"/>
      <c r="AG2" s="137"/>
    </row>
    <row r="3" spans="1:34">
      <c r="A3" s="116">
        <v>43941</v>
      </c>
      <c r="B3" s="117">
        <v>239260</v>
      </c>
      <c r="C3" s="117">
        <v>211464</v>
      </c>
      <c r="D3" s="117">
        <v>-27796</v>
      </c>
      <c r="E3" s="117">
        <v>53566</v>
      </c>
      <c r="F3" s="117">
        <v>63800</v>
      </c>
      <c r="G3" s="117"/>
      <c r="H3" s="117"/>
      <c r="I3" s="117"/>
      <c r="J3" s="117"/>
      <c r="K3" s="117">
        <v>0</v>
      </c>
      <c r="L3" s="117">
        <v>0</v>
      </c>
      <c r="M3" s="117">
        <v>27100</v>
      </c>
      <c r="N3" s="117">
        <v>0</v>
      </c>
      <c r="O3" s="117">
        <v>3477</v>
      </c>
      <c r="P3" s="117">
        <v>0</v>
      </c>
      <c r="Q3" s="117">
        <v>0</v>
      </c>
      <c r="R3" s="117">
        <v>1100</v>
      </c>
      <c r="S3" s="117">
        <v>0</v>
      </c>
      <c r="T3" s="117">
        <v>700</v>
      </c>
      <c r="U3" s="117">
        <v>5000</v>
      </c>
      <c r="V3" s="117">
        <v>0</v>
      </c>
      <c r="W3" s="117">
        <v>0</v>
      </c>
      <c r="X3" s="152">
        <v>500</v>
      </c>
      <c r="Y3" s="117">
        <v>0</v>
      </c>
      <c r="Z3" s="117">
        <v>700</v>
      </c>
      <c r="AA3" s="117">
        <v>0</v>
      </c>
      <c r="AB3" s="117">
        <v>0</v>
      </c>
      <c r="AC3" s="137">
        <v>0</v>
      </c>
      <c r="AD3" s="137">
        <v>0</v>
      </c>
      <c r="AE3" s="137">
        <v>3960</v>
      </c>
      <c r="AF3" s="137">
        <v>0</v>
      </c>
      <c r="AG3" s="137">
        <v>0</v>
      </c>
      <c r="AH3" s="3">
        <v>372159</v>
      </c>
    </row>
    <row r="4" spans="1:34">
      <c r="A4" s="116">
        <v>43971</v>
      </c>
      <c r="B4" s="117">
        <v>390870</v>
      </c>
      <c r="C4" s="117">
        <v>386738</v>
      </c>
      <c r="D4" s="117">
        <v>-4132</v>
      </c>
      <c r="E4" s="142">
        <v>55500</v>
      </c>
      <c r="F4" s="142">
        <v>63800</v>
      </c>
      <c r="G4" s="3"/>
      <c r="H4" s="3"/>
      <c r="I4" s="3"/>
      <c r="J4" s="3"/>
      <c r="K4" s="3">
        <v>0</v>
      </c>
      <c r="L4" s="142">
        <v>3000</v>
      </c>
      <c r="M4" s="142">
        <v>8030</v>
      </c>
      <c r="N4" s="142">
        <v>5423</v>
      </c>
      <c r="O4" s="142">
        <v>3225</v>
      </c>
      <c r="P4" s="142">
        <v>8700</v>
      </c>
      <c r="Q4" s="142">
        <v>76748</v>
      </c>
      <c r="R4" s="142">
        <v>1100</v>
      </c>
      <c r="S4" s="142">
        <v>0</v>
      </c>
      <c r="T4" s="142">
        <v>1943</v>
      </c>
      <c r="U4" s="142">
        <v>5000</v>
      </c>
      <c r="V4" s="142">
        <v>0</v>
      </c>
      <c r="W4" s="142">
        <v>0</v>
      </c>
      <c r="X4" s="152">
        <v>548</v>
      </c>
      <c r="Y4" s="142">
        <v>750</v>
      </c>
      <c r="Z4" s="142">
        <v>700</v>
      </c>
      <c r="AA4" s="142">
        <v>0</v>
      </c>
      <c r="AB4" s="142">
        <v>0</v>
      </c>
      <c r="AC4" s="142">
        <v>0</v>
      </c>
      <c r="AD4" s="142">
        <v>0</v>
      </c>
      <c r="AE4" s="142">
        <v>8589</v>
      </c>
      <c r="AF4" s="142">
        <v>0</v>
      </c>
      <c r="AG4" s="142">
        <v>0</v>
      </c>
      <c r="AH4" s="142">
        <v>633926</v>
      </c>
    </row>
    <row r="5" spans="1:34">
      <c r="A5" s="116">
        <v>44002</v>
      </c>
      <c r="B5" s="117">
        <v>573030</v>
      </c>
      <c r="C5" s="117">
        <v>662935</v>
      </c>
      <c r="D5" s="117">
        <v>89905</v>
      </c>
      <c r="E5" s="142">
        <v>83000</v>
      </c>
      <c r="F5" s="142">
        <v>63800</v>
      </c>
      <c r="G5" s="142">
        <v>2000</v>
      </c>
      <c r="H5" s="3">
        <v>315000</v>
      </c>
      <c r="I5" s="3"/>
      <c r="J5" s="3"/>
      <c r="K5" s="3"/>
      <c r="L5" s="142">
        <v>3000</v>
      </c>
      <c r="M5" s="152">
        <v>24636</v>
      </c>
      <c r="N5" s="142">
        <v>4700</v>
      </c>
      <c r="O5" s="142">
        <v>3352</v>
      </c>
      <c r="P5" s="142">
        <v>36880</v>
      </c>
      <c r="Q5" s="142">
        <v>0</v>
      </c>
      <c r="R5" s="142">
        <v>1100</v>
      </c>
      <c r="S5" s="142">
        <v>28873</v>
      </c>
      <c r="T5" s="142">
        <v>6620</v>
      </c>
      <c r="U5" s="142">
        <v>5000</v>
      </c>
      <c r="V5" s="142">
        <v>0</v>
      </c>
      <c r="W5" s="142">
        <v>0</v>
      </c>
      <c r="X5" s="142">
        <v>1247</v>
      </c>
      <c r="Y5" s="142">
        <v>120</v>
      </c>
      <c r="Z5" s="142">
        <v>1000</v>
      </c>
      <c r="AA5" s="142">
        <v>0</v>
      </c>
      <c r="AB5" s="142">
        <v>4815</v>
      </c>
      <c r="AC5" s="142">
        <v>0</v>
      </c>
      <c r="AD5" s="142">
        <v>0</v>
      </c>
      <c r="AE5" s="142">
        <v>7518</v>
      </c>
      <c r="AF5" s="142">
        <v>0</v>
      </c>
      <c r="AG5" s="142">
        <v>0</v>
      </c>
      <c r="AH5" s="142">
        <v>1160876</v>
      </c>
    </row>
    <row r="6" spans="1:34">
      <c r="A6" s="116">
        <v>44032</v>
      </c>
      <c r="B6" s="117">
        <v>680080</v>
      </c>
      <c r="C6" s="117">
        <v>723089</v>
      </c>
      <c r="D6" s="117">
        <v>43009</v>
      </c>
      <c r="E6" s="142">
        <v>51500</v>
      </c>
      <c r="F6" s="142">
        <v>63800</v>
      </c>
      <c r="G6" s="142">
        <v>0</v>
      </c>
      <c r="H6" s="142">
        <v>0</v>
      </c>
      <c r="I6" s="142">
        <v>23600</v>
      </c>
      <c r="J6" s="142">
        <v>372746</v>
      </c>
      <c r="K6" s="3">
        <v>0</v>
      </c>
      <c r="L6" s="153">
        <v>2000</v>
      </c>
      <c r="M6" s="152">
        <v>49359</v>
      </c>
      <c r="N6" s="142">
        <v>0</v>
      </c>
      <c r="O6" s="142">
        <v>3506</v>
      </c>
      <c r="P6" s="142">
        <v>6550</v>
      </c>
      <c r="Q6" s="142">
        <v>0</v>
      </c>
      <c r="R6" s="142">
        <v>1100</v>
      </c>
      <c r="S6" s="142">
        <v>0</v>
      </c>
      <c r="T6" s="142">
        <v>3720</v>
      </c>
      <c r="U6" s="142">
        <v>3360</v>
      </c>
      <c r="V6" s="142">
        <v>0</v>
      </c>
      <c r="W6" s="142">
        <v>0</v>
      </c>
      <c r="X6" s="142">
        <v>548</v>
      </c>
      <c r="Y6" s="142">
        <v>850</v>
      </c>
      <c r="Z6" s="142">
        <v>1200</v>
      </c>
      <c r="AA6" s="142">
        <v>0</v>
      </c>
      <c r="AB6" s="142">
        <v>0</v>
      </c>
      <c r="AC6" s="142">
        <v>0</v>
      </c>
      <c r="AD6" s="142">
        <v>142399</v>
      </c>
      <c r="AE6" s="152">
        <v>29649</v>
      </c>
      <c r="AF6" s="142">
        <v>0</v>
      </c>
      <c r="AG6" s="142">
        <v>0</v>
      </c>
      <c r="AH6" s="142">
        <v>1427587</v>
      </c>
    </row>
    <row r="7" spans="1:34">
      <c r="A7" s="116">
        <v>44063</v>
      </c>
      <c r="B7" s="117">
        <v>593680</v>
      </c>
      <c r="C7" s="117">
        <v>687753</v>
      </c>
      <c r="D7" s="117">
        <v>94073</v>
      </c>
      <c r="E7" s="142">
        <v>52400</v>
      </c>
      <c r="F7" s="142">
        <v>66987</v>
      </c>
      <c r="G7" s="142">
        <v>10000</v>
      </c>
      <c r="H7" s="142">
        <v>0</v>
      </c>
      <c r="I7" s="142">
        <v>0</v>
      </c>
      <c r="J7" s="142">
        <v>0</v>
      </c>
      <c r="K7" s="142">
        <v>58547</v>
      </c>
      <c r="L7" s="142">
        <v>12800</v>
      </c>
      <c r="M7" s="152">
        <v>102450</v>
      </c>
      <c r="N7" s="142">
        <v>30178</v>
      </c>
      <c r="O7" s="142">
        <v>3636</v>
      </c>
      <c r="P7" s="142">
        <v>8100</v>
      </c>
      <c r="Q7" s="142">
        <v>0</v>
      </c>
      <c r="R7" s="142">
        <v>863</v>
      </c>
      <c r="S7" s="142">
        <v>0</v>
      </c>
      <c r="T7" s="142">
        <v>8685</v>
      </c>
      <c r="U7" s="142">
        <v>4560</v>
      </c>
      <c r="V7" s="142">
        <v>4000</v>
      </c>
      <c r="W7" s="142">
        <v>621</v>
      </c>
      <c r="X7" s="142">
        <v>738</v>
      </c>
      <c r="Y7" s="142">
        <v>664</v>
      </c>
      <c r="Z7" s="142">
        <v>2190</v>
      </c>
      <c r="AA7" s="142">
        <v>0</v>
      </c>
      <c r="AB7" s="142">
        <v>695</v>
      </c>
      <c r="AC7" s="142">
        <v>0</v>
      </c>
      <c r="AD7" s="142">
        <v>22420</v>
      </c>
      <c r="AE7" s="142">
        <v>15050</v>
      </c>
      <c r="AF7" s="142">
        <v>0</v>
      </c>
      <c r="AG7" s="142">
        <v>0</v>
      </c>
      <c r="AH7" s="142">
        <v>999264</v>
      </c>
    </row>
    <row r="8" spans="1:34">
      <c r="A8" s="116">
        <v>44094</v>
      </c>
      <c r="B8" s="117">
        <v>504970</v>
      </c>
      <c r="C8" s="117">
        <v>481562</v>
      </c>
      <c r="D8" s="117">
        <v>-23408</v>
      </c>
      <c r="E8" s="142">
        <v>46500</v>
      </c>
      <c r="F8" s="142">
        <v>66987</v>
      </c>
      <c r="G8" s="142">
        <v>21240</v>
      </c>
      <c r="H8" s="142">
        <v>0</v>
      </c>
      <c r="I8" s="142">
        <v>0</v>
      </c>
      <c r="J8" s="142">
        <v>0</v>
      </c>
      <c r="K8" s="142">
        <v>0</v>
      </c>
      <c r="L8" s="142">
        <v>3100</v>
      </c>
      <c r="M8" s="142">
        <v>52370</v>
      </c>
      <c r="N8" s="142">
        <v>0</v>
      </c>
      <c r="O8" s="142">
        <v>5380</v>
      </c>
      <c r="P8" s="142">
        <v>11600</v>
      </c>
      <c r="Q8" s="142">
        <v>0</v>
      </c>
      <c r="R8" s="142">
        <v>863</v>
      </c>
      <c r="S8" s="142">
        <v>0</v>
      </c>
      <c r="T8" s="142">
        <v>6100</v>
      </c>
      <c r="U8" s="142">
        <v>5710</v>
      </c>
      <c r="V8" s="142">
        <v>0</v>
      </c>
      <c r="W8" s="142">
        <v>398</v>
      </c>
      <c r="X8" s="142">
        <v>684</v>
      </c>
      <c r="Y8" s="142">
        <v>1340</v>
      </c>
      <c r="Z8" s="142">
        <v>700</v>
      </c>
      <c r="AA8" s="142">
        <v>0</v>
      </c>
      <c r="AB8" s="142">
        <v>0</v>
      </c>
      <c r="AC8" s="142">
        <v>0</v>
      </c>
      <c r="AD8" s="142">
        <v>0</v>
      </c>
      <c r="AE8" s="142">
        <v>15029</v>
      </c>
      <c r="AF8" s="142">
        <v>0</v>
      </c>
      <c r="AG8" s="142">
        <v>0</v>
      </c>
      <c r="AH8" s="142">
        <v>742971</v>
      </c>
    </row>
    <row r="9" spans="1:34">
      <c r="A9" s="116">
        <v>44124</v>
      </c>
      <c r="B9" s="154">
        <v>0</v>
      </c>
      <c r="C9" s="117">
        <v>532023</v>
      </c>
      <c r="D9" s="117">
        <v>-2722</v>
      </c>
      <c r="E9" s="142">
        <v>54500</v>
      </c>
      <c r="F9" s="142">
        <v>66987</v>
      </c>
      <c r="G9" s="142">
        <v>5000</v>
      </c>
      <c r="H9" s="142"/>
      <c r="I9" s="142"/>
      <c r="J9" s="142"/>
      <c r="K9" s="142">
        <v>73947</v>
      </c>
      <c r="L9" s="142">
        <v>3000</v>
      </c>
      <c r="M9" s="142">
        <v>187691</v>
      </c>
      <c r="N9" s="142">
        <v>20016</v>
      </c>
      <c r="O9" s="142">
        <v>3808</v>
      </c>
      <c r="P9" s="142">
        <v>6000</v>
      </c>
      <c r="Q9" s="142">
        <v>0</v>
      </c>
      <c r="R9" s="142">
        <v>863</v>
      </c>
      <c r="S9" s="142">
        <v>0</v>
      </c>
      <c r="T9" s="142">
        <v>43180</v>
      </c>
      <c r="U9" s="142">
        <v>5500</v>
      </c>
      <c r="V9" s="142">
        <v>0</v>
      </c>
      <c r="W9" s="142">
        <v>669</v>
      </c>
      <c r="X9" s="142">
        <v>588</v>
      </c>
      <c r="Y9" s="142">
        <v>20</v>
      </c>
      <c r="Z9" s="142">
        <v>950</v>
      </c>
      <c r="AA9" s="142">
        <v>0</v>
      </c>
      <c r="AB9" s="142">
        <v>0</v>
      </c>
      <c r="AC9" s="142">
        <v>442030</v>
      </c>
      <c r="AD9" s="142">
        <v>0</v>
      </c>
      <c r="AE9" s="142">
        <v>11900</v>
      </c>
      <c r="AF9" s="142">
        <v>0</v>
      </c>
      <c r="AG9" s="142">
        <v>0</v>
      </c>
      <c r="AH9" s="142">
        <v>1461394</v>
      </c>
    </row>
    <row r="10" spans="1:34">
      <c r="A10" s="116">
        <v>44155</v>
      </c>
      <c r="B10" s="117">
        <v>291040</v>
      </c>
      <c r="C10" s="117">
        <v>246136</v>
      </c>
      <c r="D10" s="117">
        <v>-44904</v>
      </c>
      <c r="E10" s="142">
        <v>48500</v>
      </c>
      <c r="F10" s="142">
        <v>66987</v>
      </c>
      <c r="G10" s="142">
        <v>38556</v>
      </c>
      <c r="H10" s="142">
        <v>0</v>
      </c>
      <c r="I10" s="142">
        <v>0</v>
      </c>
      <c r="J10" s="142">
        <v>0</v>
      </c>
      <c r="K10" s="142">
        <v>142849</v>
      </c>
      <c r="L10" s="142">
        <v>6000</v>
      </c>
      <c r="M10" s="142">
        <v>39480</v>
      </c>
      <c r="N10" s="142">
        <v>0</v>
      </c>
      <c r="O10" s="142">
        <v>4149</v>
      </c>
      <c r="P10" s="142">
        <v>12400</v>
      </c>
      <c r="Q10" s="142">
        <v>0</v>
      </c>
      <c r="R10" s="142">
        <v>863</v>
      </c>
      <c r="S10" s="142">
        <v>0</v>
      </c>
      <c r="T10" s="142">
        <v>11215</v>
      </c>
      <c r="U10" s="142">
        <v>5500</v>
      </c>
      <c r="V10" s="142">
        <v>3721</v>
      </c>
      <c r="W10" s="142">
        <v>320</v>
      </c>
      <c r="X10" s="142">
        <v>568</v>
      </c>
      <c r="Y10" s="142">
        <v>680</v>
      </c>
      <c r="Z10" s="142">
        <v>800</v>
      </c>
      <c r="AA10" s="142">
        <v>0</v>
      </c>
      <c r="AB10" s="142">
        <v>20348</v>
      </c>
      <c r="AC10" s="142">
        <v>0</v>
      </c>
      <c r="AD10" s="142">
        <v>4300</v>
      </c>
      <c r="AE10" s="142">
        <v>12118</v>
      </c>
      <c r="AF10" s="142">
        <v>0</v>
      </c>
      <c r="AG10" s="142">
        <v>5156</v>
      </c>
      <c r="AH10" s="142">
        <v>715550</v>
      </c>
    </row>
    <row r="11" spans="1:34">
      <c r="A11" s="116">
        <v>44185</v>
      </c>
      <c r="B11" s="117">
        <v>300530</v>
      </c>
      <c r="C11" s="117">
        <v>301151</v>
      </c>
      <c r="D11" s="117">
        <v>621</v>
      </c>
      <c r="E11" s="142">
        <v>48500</v>
      </c>
      <c r="F11" s="142">
        <v>66987</v>
      </c>
      <c r="G11" s="142">
        <v>5000</v>
      </c>
      <c r="H11" s="142">
        <v>0</v>
      </c>
      <c r="I11" s="142">
        <v>0</v>
      </c>
      <c r="J11" s="142">
        <v>0</v>
      </c>
      <c r="K11" s="142">
        <v>139599</v>
      </c>
      <c r="L11" s="142">
        <v>0</v>
      </c>
      <c r="M11" s="142">
        <v>249693</v>
      </c>
      <c r="N11" s="142">
        <v>11139</v>
      </c>
      <c r="O11" s="142">
        <v>13735</v>
      </c>
      <c r="P11" s="142">
        <v>6850</v>
      </c>
      <c r="Q11" s="142">
        <v>0</v>
      </c>
      <c r="R11" s="142">
        <v>863</v>
      </c>
      <c r="S11" s="142">
        <v>0</v>
      </c>
      <c r="T11" s="142">
        <v>0</v>
      </c>
      <c r="U11" s="142">
        <v>5500</v>
      </c>
      <c r="V11" s="142">
        <v>4200</v>
      </c>
      <c r="W11" s="142">
        <v>0</v>
      </c>
      <c r="X11" s="142">
        <v>568</v>
      </c>
      <c r="Y11" s="152">
        <v>1100</v>
      </c>
      <c r="Z11" s="142">
        <v>950</v>
      </c>
      <c r="AA11" s="142">
        <v>0</v>
      </c>
      <c r="AB11" s="142">
        <v>0</v>
      </c>
      <c r="AC11" s="142">
        <v>0</v>
      </c>
      <c r="AD11" s="142">
        <v>0</v>
      </c>
      <c r="AE11" s="142">
        <v>12450</v>
      </c>
      <c r="AF11" s="142">
        <v>0</v>
      </c>
      <c r="AG11" s="142">
        <v>0</v>
      </c>
      <c r="AH11" s="142">
        <v>866564</v>
      </c>
    </row>
    <row r="12" spans="1:34">
      <c r="A12" s="116">
        <v>44217</v>
      </c>
      <c r="B12" s="117">
        <v>446170</v>
      </c>
      <c r="C12" s="117">
        <v>437769</v>
      </c>
      <c r="D12" s="117">
        <v>-8401</v>
      </c>
      <c r="E12" s="142">
        <v>53500</v>
      </c>
      <c r="F12" s="142">
        <v>66987</v>
      </c>
      <c r="G12" s="142">
        <v>0</v>
      </c>
      <c r="H12" s="142">
        <v>0</v>
      </c>
      <c r="I12" s="142">
        <v>0</v>
      </c>
      <c r="J12" s="142">
        <v>0</v>
      </c>
      <c r="K12" s="142">
        <v>89162</v>
      </c>
      <c r="L12" s="142">
        <v>4000</v>
      </c>
      <c r="M12" s="142">
        <v>259670</v>
      </c>
      <c r="N12" s="142">
        <v>6008</v>
      </c>
      <c r="O12" s="142">
        <v>4418</v>
      </c>
      <c r="P12" s="142">
        <v>5540</v>
      </c>
      <c r="Q12" s="142">
        <v>0</v>
      </c>
      <c r="R12" s="142">
        <v>863</v>
      </c>
      <c r="S12" s="142">
        <v>0</v>
      </c>
      <c r="T12" s="142">
        <v>1530</v>
      </c>
      <c r="U12" s="152">
        <v>5540</v>
      </c>
      <c r="V12" s="142">
        <v>2630</v>
      </c>
      <c r="W12" s="142">
        <v>372</v>
      </c>
      <c r="X12" s="142">
        <v>668</v>
      </c>
      <c r="Y12" s="142">
        <v>1875</v>
      </c>
      <c r="Z12" s="142">
        <v>700</v>
      </c>
      <c r="AA12" s="142">
        <v>0</v>
      </c>
      <c r="AB12" s="152">
        <v>12565</v>
      </c>
      <c r="AC12" s="142">
        <v>0</v>
      </c>
      <c r="AD12" s="142">
        <v>0</v>
      </c>
      <c r="AE12" s="142">
        <v>10500</v>
      </c>
      <c r="AF12" s="142">
        <v>0</v>
      </c>
      <c r="AG12" s="142">
        <v>4000</v>
      </c>
      <c r="AH12" s="142">
        <v>976698</v>
      </c>
    </row>
    <row r="13" spans="1:34">
      <c r="A13" s="116">
        <v>44248</v>
      </c>
      <c r="B13" s="117">
        <v>449360</v>
      </c>
      <c r="C13" s="117">
        <v>345891</v>
      </c>
      <c r="D13" s="117">
        <v>-103469</v>
      </c>
      <c r="E13" s="142">
        <v>53500</v>
      </c>
      <c r="F13" s="142">
        <v>66987</v>
      </c>
      <c r="G13" s="142">
        <v>24780</v>
      </c>
      <c r="H13" s="142">
        <v>0</v>
      </c>
      <c r="I13" s="142">
        <v>0</v>
      </c>
      <c r="J13" s="142">
        <v>0</v>
      </c>
      <c r="K13" s="142">
        <v>64811</v>
      </c>
      <c r="L13" s="142">
        <v>0</v>
      </c>
      <c r="M13" s="142">
        <v>167266</v>
      </c>
      <c r="N13" s="142">
        <v>6254</v>
      </c>
      <c r="O13" s="142">
        <v>3963</v>
      </c>
      <c r="P13" s="142">
        <v>1050</v>
      </c>
      <c r="Q13" s="142">
        <v>0</v>
      </c>
      <c r="R13" s="142">
        <v>863</v>
      </c>
      <c r="S13" s="142">
        <v>0</v>
      </c>
      <c r="T13" s="142">
        <v>38600</v>
      </c>
      <c r="U13" s="155">
        <v>4850</v>
      </c>
      <c r="V13" s="142">
        <v>0</v>
      </c>
      <c r="W13" s="142">
        <v>677</v>
      </c>
      <c r="X13" s="142">
        <v>650</v>
      </c>
      <c r="Y13" s="142">
        <v>5185</v>
      </c>
      <c r="Z13" s="142">
        <v>700</v>
      </c>
      <c r="AA13" s="142">
        <v>0</v>
      </c>
      <c r="AB13" s="142">
        <v>0</v>
      </c>
      <c r="AC13" s="142">
        <v>0</v>
      </c>
      <c r="AD13" s="142">
        <v>0</v>
      </c>
      <c r="AE13" s="142">
        <v>6900</v>
      </c>
      <c r="AF13" s="142">
        <v>0</v>
      </c>
      <c r="AG13" s="142">
        <v>0</v>
      </c>
      <c r="AH13" s="142">
        <v>890142</v>
      </c>
    </row>
    <row r="14" spans="1:34">
      <c r="A14" s="116">
        <v>44276</v>
      </c>
      <c r="B14" s="117">
        <v>254833</v>
      </c>
      <c r="C14" s="117">
        <v>246946</v>
      </c>
      <c r="D14" s="117">
        <v>-7887</v>
      </c>
      <c r="E14" s="152">
        <v>67300</v>
      </c>
      <c r="F14" s="152">
        <v>66981</v>
      </c>
      <c r="G14" s="142">
        <v>0</v>
      </c>
      <c r="H14" s="142">
        <v>0</v>
      </c>
      <c r="I14" s="142">
        <v>0</v>
      </c>
      <c r="J14" s="142">
        <v>0</v>
      </c>
      <c r="K14" s="142">
        <v>60251</v>
      </c>
      <c r="L14" s="152">
        <v>6100</v>
      </c>
      <c r="M14" s="152">
        <v>68509</v>
      </c>
      <c r="N14" s="152">
        <v>55272</v>
      </c>
      <c r="O14" s="152">
        <v>3225</v>
      </c>
      <c r="P14" s="142">
        <v>0</v>
      </c>
      <c r="Q14" s="142">
        <v>0</v>
      </c>
      <c r="R14" s="142">
        <v>863</v>
      </c>
      <c r="S14" s="142">
        <v>0</v>
      </c>
      <c r="T14" s="142">
        <v>4997</v>
      </c>
      <c r="U14" s="152">
        <v>5400</v>
      </c>
      <c r="V14" s="3"/>
      <c r="W14" s="142">
        <v>88</v>
      </c>
      <c r="X14" s="152">
        <v>614</v>
      </c>
      <c r="Y14" s="152">
        <v>850</v>
      </c>
      <c r="Z14" s="152">
        <v>1000</v>
      </c>
      <c r="AA14" s="142">
        <v>0</v>
      </c>
      <c r="AB14" s="142">
        <v>0</v>
      </c>
      <c r="AC14" s="142">
        <v>0</v>
      </c>
      <c r="AD14" s="142">
        <v>0</v>
      </c>
      <c r="AE14" s="152">
        <v>700</v>
      </c>
      <c r="AF14" s="142">
        <v>14700</v>
      </c>
      <c r="AG14" s="142">
        <v>4000</v>
      </c>
      <c r="AH14" s="142">
        <v>615713</v>
      </c>
    </row>
    <row r="15" spans="1:34">
      <c r="A15" s="116"/>
      <c r="B15" s="117"/>
      <c r="C15" s="117"/>
      <c r="D15" s="117">
        <v>0</v>
      </c>
      <c r="E15" s="3"/>
      <c r="F15" s="3"/>
      <c r="G15" s="3"/>
      <c r="H15" s="3"/>
      <c r="I15" s="3"/>
      <c r="J15" s="3"/>
      <c r="K15" s="3"/>
      <c r="L15" s="3"/>
      <c r="M15" s="3"/>
      <c r="N15" s="3"/>
      <c r="O15" s="3"/>
      <c r="P15" s="3"/>
      <c r="Q15" s="3"/>
      <c r="R15" s="3"/>
      <c r="S15" s="3"/>
      <c r="T15" s="3"/>
      <c r="U15" s="3"/>
      <c r="V15" s="3"/>
      <c r="W15" s="3"/>
      <c r="X15" s="3"/>
      <c r="Y15" s="3"/>
      <c r="Z15" s="3"/>
      <c r="AA15" s="3"/>
      <c r="AB15" s="3"/>
      <c r="AC15" s="3"/>
      <c r="AD15" s="142"/>
      <c r="AE15" s="142"/>
      <c r="AF15" s="142"/>
      <c r="AG15" s="142"/>
      <c r="AH15" s="142">
        <v>0</v>
      </c>
    </row>
    <row r="16" spans="1:34" ht="15.75">
      <c r="A16" s="117"/>
      <c r="B16" s="143">
        <v>4723823</v>
      </c>
      <c r="C16" s="143">
        <v>5263457</v>
      </c>
      <c r="D16" s="143">
        <v>4889</v>
      </c>
      <c r="E16" s="143">
        <v>668266</v>
      </c>
      <c r="F16" s="143">
        <v>791090</v>
      </c>
      <c r="G16" s="143">
        <v>106576</v>
      </c>
      <c r="H16" s="143">
        <v>315000</v>
      </c>
      <c r="I16" s="143">
        <v>23600</v>
      </c>
      <c r="J16" s="143">
        <v>372746</v>
      </c>
      <c r="K16" s="143">
        <v>629166</v>
      </c>
      <c r="L16" s="143">
        <v>43000</v>
      </c>
      <c r="M16" s="143">
        <v>1236254</v>
      </c>
      <c r="N16" s="143">
        <v>138990</v>
      </c>
      <c r="O16" s="143">
        <v>55874</v>
      </c>
      <c r="P16" s="143">
        <v>103670</v>
      </c>
      <c r="Q16" s="143">
        <v>76748</v>
      </c>
      <c r="R16" s="143">
        <v>11304</v>
      </c>
      <c r="S16" s="143">
        <v>28873</v>
      </c>
      <c r="T16" s="143">
        <v>127290</v>
      </c>
      <c r="U16" s="143">
        <v>60920</v>
      </c>
      <c r="V16" s="143">
        <v>14551</v>
      </c>
      <c r="W16" s="143">
        <v>3145</v>
      </c>
      <c r="X16" s="143">
        <v>7921</v>
      </c>
      <c r="Y16" s="143">
        <v>13434</v>
      </c>
      <c r="Z16" s="143">
        <v>11590</v>
      </c>
      <c r="AA16" s="143">
        <v>0</v>
      </c>
      <c r="AB16" s="143">
        <v>38423</v>
      </c>
      <c r="AC16" s="143">
        <v>442030</v>
      </c>
      <c r="AD16" s="143">
        <v>169119</v>
      </c>
      <c r="AE16" s="143">
        <v>134363</v>
      </c>
      <c r="AF16" s="143">
        <v>14700</v>
      </c>
      <c r="AG16" s="143">
        <v>13156</v>
      </c>
      <c r="AH16" s="143">
        <v>10862844</v>
      </c>
    </row>
    <row r="18" spans="1:31" ht="15.75">
      <c r="A18" s="156" t="s">
        <v>282</v>
      </c>
      <c r="B18" s="157">
        <v>4723823</v>
      </c>
      <c r="E18" s="158">
        <v>668266</v>
      </c>
      <c r="F18" s="158">
        <v>791090</v>
      </c>
      <c r="J18" s="158">
        <v>372746</v>
      </c>
      <c r="L18" s="158">
        <v>43000</v>
      </c>
      <c r="M18" s="158">
        <v>1244680</v>
      </c>
      <c r="N18" s="158">
        <v>138998</v>
      </c>
      <c r="O18" s="158">
        <v>55874</v>
      </c>
      <c r="P18" s="158">
        <v>103670</v>
      </c>
      <c r="S18" s="158">
        <v>28873</v>
      </c>
      <c r="U18" s="158">
        <v>61330</v>
      </c>
      <c r="X18" s="158">
        <v>8017</v>
      </c>
      <c r="Y18" s="158">
        <v>13434</v>
      </c>
      <c r="Z18" s="158">
        <v>11590</v>
      </c>
      <c r="AB18" s="158">
        <v>38423</v>
      </c>
      <c r="AD18" s="158">
        <v>169119</v>
      </c>
      <c r="AE18" s="158">
        <v>134363</v>
      </c>
    </row>
    <row r="19" spans="1:31">
      <c r="A19" t="s">
        <v>283</v>
      </c>
      <c r="B19" s="159">
        <f>+B16-B18</f>
        <v>0</v>
      </c>
      <c r="C19" s="153"/>
      <c r="D19" s="153"/>
      <c r="E19" s="159">
        <f t="shared" ref="E19:F19" si="0">+E16-E18</f>
        <v>0</v>
      </c>
      <c r="F19" s="159">
        <f t="shared" si="0"/>
        <v>0</v>
      </c>
      <c r="G19" s="153"/>
      <c r="H19" s="153"/>
      <c r="I19" s="153"/>
      <c r="J19" s="159">
        <f t="shared" ref="J19" si="1">+J16-J18</f>
        <v>0</v>
      </c>
      <c r="K19" s="153"/>
      <c r="L19" s="159">
        <v>0</v>
      </c>
      <c r="M19" s="159">
        <f t="shared" ref="M19:P19" si="2">+M16-M18</f>
        <v>-8426</v>
      </c>
      <c r="N19" s="159">
        <f t="shared" si="2"/>
        <v>-8</v>
      </c>
      <c r="O19" s="159">
        <f t="shared" si="2"/>
        <v>0</v>
      </c>
      <c r="P19" s="159">
        <f t="shared" si="2"/>
        <v>0</v>
      </c>
      <c r="Q19" s="153"/>
      <c r="R19" s="153"/>
      <c r="S19" s="159">
        <f t="shared" ref="S19" si="3">+S16-S18</f>
        <v>0</v>
      </c>
      <c r="T19" s="153"/>
      <c r="U19" s="159">
        <f t="shared" ref="U19" si="4">+U16-U18</f>
        <v>-410</v>
      </c>
      <c r="V19" s="153"/>
      <c r="W19" s="153"/>
      <c r="X19" s="159">
        <f t="shared" ref="X19:Z19" si="5">+X16-X18</f>
        <v>-96</v>
      </c>
      <c r="Y19" s="159">
        <f t="shared" si="5"/>
        <v>0</v>
      </c>
      <c r="Z19" s="159">
        <f t="shared" si="5"/>
        <v>0</v>
      </c>
      <c r="AA19" s="153"/>
      <c r="AB19" s="159">
        <f t="shared" ref="AB19" si="6">+AB16-AB18</f>
        <v>0</v>
      </c>
      <c r="AD19" s="159">
        <v>0</v>
      </c>
      <c r="AE19" s="159">
        <f>-AE18+AE16</f>
        <v>0</v>
      </c>
    </row>
    <row r="20" spans="1:31">
      <c r="A20" s="153"/>
      <c r="B20" s="117" t="s">
        <v>296</v>
      </c>
      <c r="C20" t="s">
        <v>297</v>
      </c>
      <c r="D20" t="s">
        <v>298</v>
      </c>
      <c r="E20" s="153"/>
      <c r="F20" s="153"/>
      <c r="L20" s="153"/>
      <c r="M20" s="153"/>
      <c r="N20" s="153"/>
      <c r="O20" s="153"/>
    </row>
    <row r="21" spans="1:31">
      <c r="A21" s="180">
        <v>44459</v>
      </c>
      <c r="B21">
        <v>545995</v>
      </c>
      <c r="C21">
        <v>442030</v>
      </c>
      <c r="D21">
        <v>495114</v>
      </c>
      <c r="E21">
        <f>D21-C21</f>
        <v>53084</v>
      </c>
      <c r="F21" t="s">
        <v>299</v>
      </c>
      <c r="L21" s="153"/>
      <c r="M21" s="153"/>
      <c r="N21" s="160">
        <v>19225</v>
      </c>
      <c r="O21" s="160" t="s">
        <v>284</v>
      </c>
    </row>
    <row r="22" spans="1:31">
      <c r="A22" s="180">
        <v>44248</v>
      </c>
      <c r="B22">
        <v>320806</v>
      </c>
      <c r="C22">
        <v>253082</v>
      </c>
      <c r="D22">
        <v>282179</v>
      </c>
      <c r="E22">
        <f>D22-C22</f>
        <v>29097</v>
      </c>
      <c r="F22" t="s">
        <v>300</v>
      </c>
      <c r="N22" s="160">
        <v>27384</v>
      </c>
      <c r="O22" s="160" t="s">
        <v>285</v>
      </c>
    </row>
    <row r="23" spans="1:31">
      <c r="B23">
        <f>B21-D21</f>
        <v>50881</v>
      </c>
      <c r="F23" t="s">
        <v>301</v>
      </c>
      <c r="N23" s="160">
        <v>7200</v>
      </c>
      <c r="O23" s="160" t="s">
        <v>286</v>
      </c>
    </row>
    <row r="24" spans="1:31">
      <c r="G24" s="117"/>
    </row>
    <row r="25" spans="1:31">
      <c r="G25" s="117"/>
    </row>
    <row r="26" spans="1:31">
      <c r="G26" s="117"/>
    </row>
    <row r="27" spans="1:31">
      <c r="G27" s="117"/>
    </row>
  </sheetData>
  <pageMargins left="0.7" right="0.7" top="0.75" bottom="0.75" header="0.3" footer="0.3"/>
  <pageSetup orientation="portrait" horizontalDpi="4294967293" verticalDpi="4294967293"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25"/>
  <sheetViews>
    <sheetView workbookViewId="0">
      <selection activeCell="H9" sqref="H9"/>
    </sheetView>
  </sheetViews>
  <sheetFormatPr defaultRowHeight="15"/>
  <cols>
    <col min="2" max="3" width="10.28515625" bestFit="1" customWidth="1"/>
    <col min="8" max="8" width="18.5703125" bestFit="1" customWidth="1"/>
    <col min="9" max="9" width="12.85546875" bestFit="1" customWidth="1"/>
    <col min="10" max="11" width="14.42578125" bestFit="1" customWidth="1"/>
    <col min="12" max="12" width="18.42578125" bestFit="1" customWidth="1"/>
    <col min="13" max="13" width="14.85546875" bestFit="1" customWidth="1"/>
    <col min="14" max="14" width="11.7109375" bestFit="1" customWidth="1"/>
    <col min="16" max="16" width="8.7109375" bestFit="1" customWidth="1"/>
    <col min="17" max="17" width="9.42578125" customWidth="1"/>
    <col min="18" max="19" width="13.140625" bestFit="1" customWidth="1"/>
  </cols>
  <sheetData>
    <row r="1" spans="1:19" ht="15.75" thickBot="1">
      <c r="A1" s="118" t="s">
        <v>22</v>
      </c>
      <c r="B1" s="119" t="s">
        <v>71</v>
      </c>
      <c r="C1" s="115" t="s">
        <v>72</v>
      </c>
      <c r="D1" s="119" t="s">
        <v>231</v>
      </c>
      <c r="E1" s="119" t="s">
        <v>78</v>
      </c>
      <c r="F1" s="119" t="s">
        <v>76</v>
      </c>
      <c r="G1" s="119" t="s">
        <v>79</v>
      </c>
      <c r="H1" s="119" t="s">
        <v>275</v>
      </c>
      <c r="I1" s="119" t="s">
        <v>232</v>
      </c>
      <c r="J1" s="119" t="s">
        <v>273</v>
      </c>
      <c r="K1" s="119" t="s">
        <v>59</v>
      </c>
      <c r="L1" s="120" t="s">
        <v>280</v>
      </c>
      <c r="M1" s="119" t="s">
        <v>75</v>
      </c>
      <c r="N1" s="121" t="s">
        <v>250</v>
      </c>
      <c r="O1" s="122" t="s">
        <v>73</v>
      </c>
      <c r="P1" s="145" t="s">
        <v>279</v>
      </c>
      <c r="Q1" s="115" t="s">
        <v>274</v>
      </c>
      <c r="R1" s="115" t="s">
        <v>281</v>
      </c>
      <c r="S1" s="146" t="s">
        <v>211</v>
      </c>
    </row>
    <row r="2" spans="1:19" ht="15.75" thickBot="1">
      <c r="A2" s="125">
        <v>43922</v>
      </c>
      <c r="B2" s="127">
        <v>332700</v>
      </c>
      <c r="C2" s="142">
        <v>211464</v>
      </c>
      <c r="D2" s="127">
        <v>8000</v>
      </c>
      <c r="E2" s="127">
        <v>0</v>
      </c>
      <c r="F2" s="126">
        <v>5000</v>
      </c>
      <c r="G2" s="126">
        <v>0</v>
      </c>
      <c r="H2" s="126">
        <v>228</v>
      </c>
      <c r="I2" s="126">
        <v>9220</v>
      </c>
      <c r="J2" s="126">
        <v>0</v>
      </c>
      <c r="K2" s="117">
        <v>4360</v>
      </c>
      <c r="L2" s="117">
        <v>0</v>
      </c>
      <c r="M2" s="126">
        <v>0</v>
      </c>
      <c r="N2" s="126">
        <v>10500</v>
      </c>
      <c r="O2" s="126">
        <v>38500</v>
      </c>
      <c r="P2" s="128">
        <v>0</v>
      </c>
      <c r="Q2" s="129">
        <v>14000</v>
      </c>
      <c r="R2" s="117"/>
      <c r="S2" s="129">
        <f>SUM(B2:R2)</f>
        <v>633972</v>
      </c>
    </row>
    <row r="3" spans="1:19" ht="15.75" thickBot="1">
      <c r="A3" s="125">
        <v>43952</v>
      </c>
      <c r="B3" s="161">
        <v>1996100</v>
      </c>
      <c r="C3" s="142">
        <v>356962</v>
      </c>
      <c r="D3" s="117">
        <v>0</v>
      </c>
      <c r="E3" s="117">
        <v>2000</v>
      </c>
      <c r="F3" s="117">
        <v>0</v>
      </c>
      <c r="G3" s="117">
        <v>500</v>
      </c>
      <c r="H3" s="117">
        <v>228</v>
      </c>
      <c r="I3" s="117">
        <v>12060</v>
      </c>
      <c r="J3" s="117">
        <v>0</v>
      </c>
      <c r="K3" s="117">
        <v>4320</v>
      </c>
      <c r="L3" s="117">
        <v>0</v>
      </c>
      <c r="M3" s="117">
        <v>0</v>
      </c>
      <c r="N3" s="117">
        <v>14000</v>
      </c>
      <c r="O3" s="117">
        <v>213500</v>
      </c>
      <c r="P3" s="128">
        <v>0</v>
      </c>
      <c r="Q3" s="129">
        <v>21000</v>
      </c>
      <c r="R3" s="117"/>
      <c r="S3" s="129">
        <f t="shared" ref="S3:S13" si="0">SUM(B3:R3)</f>
        <v>2620670</v>
      </c>
    </row>
    <row r="4" spans="1:19" ht="15.75" thickBot="1">
      <c r="A4" s="125">
        <v>43983</v>
      </c>
      <c r="B4" s="161">
        <v>430200</v>
      </c>
      <c r="C4" s="142">
        <v>662935</v>
      </c>
      <c r="D4" s="117">
        <v>8000</v>
      </c>
      <c r="E4" s="117">
        <v>0</v>
      </c>
      <c r="F4" s="117">
        <v>0</v>
      </c>
      <c r="G4" s="117">
        <v>1675</v>
      </c>
      <c r="H4" s="117">
        <v>684</v>
      </c>
      <c r="I4" s="117">
        <v>8100</v>
      </c>
      <c r="J4" s="117">
        <v>0</v>
      </c>
      <c r="K4" s="117">
        <v>4640</v>
      </c>
      <c r="L4" s="117">
        <v>0</v>
      </c>
      <c r="M4" s="117">
        <v>0</v>
      </c>
      <c r="N4" s="117">
        <v>14000</v>
      </c>
      <c r="O4" s="117">
        <v>70000</v>
      </c>
      <c r="P4" s="128">
        <v>0</v>
      </c>
      <c r="Q4" s="129">
        <v>21000</v>
      </c>
      <c r="R4" s="117"/>
      <c r="S4" s="129">
        <f t="shared" si="0"/>
        <v>1221234</v>
      </c>
    </row>
    <row r="5" spans="1:19" ht="15.75" thickBot="1">
      <c r="A5" s="125">
        <v>44013</v>
      </c>
      <c r="B5" s="161">
        <v>171600</v>
      </c>
      <c r="C5" s="142">
        <v>723089</v>
      </c>
      <c r="D5" s="117">
        <v>16000</v>
      </c>
      <c r="E5" s="117">
        <v>0</v>
      </c>
      <c r="F5" s="117">
        <v>0</v>
      </c>
      <c r="G5" s="117">
        <v>1850</v>
      </c>
      <c r="H5" s="117">
        <v>228</v>
      </c>
      <c r="I5" s="117">
        <v>8100</v>
      </c>
      <c r="J5" s="117">
        <v>0</v>
      </c>
      <c r="K5" s="117">
        <v>4560</v>
      </c>
      <c r="L5" s="117">
        <v>0</v>
      </c>
      <c r="M5" s="117">
        <v>0</v>
      </c>
      <c r="N5" s="117">
        <v>0</v>
      </c>
      <c r="O5" s="117">
        <v>3500</v>
      </c>
      <c r="P5" s="128">
        <v>0</v>
      </c>
      <c r="Q5" s="129">
        <v>14000</v>
      </c>
      <c r="R5" s="117"/>
      <c r="S5" s="129">
        <f t="shared" si="0"/>
        <v>942927</v>
      </c>
    </row>
    <row r="6" spans="1:19" ht="15.75" thickBot="1">
      <c r="A6" s="125">
        <v>44044</v>
      </c>
      <c r="B6" s="161">
        <v>127500</v>
      </c>
      <c r="C6" s="142">
        <v>687753</v>
      </c>
      <c r="D6" s="117">
        <v>8000</v>
      </c>
      <c r="E6" s="117">
        <v>0</v>
      </c>
      <c r="F6" s="117">
        <v>0</v>
      </c>
      <c r="G6" s="117">
        <v>2985</v>
      </c>
      <c r="H6" s="117">
        <v>456</v>
      </c>
      <c r="I6" s="117">
        <v>9200</v>
      </c>
      <c r="J6" s="117">
        <v>0</v>
      </c>
      <c r="K6" s="117">
        <v>5660</v>
      </c>
      <c r="L6" s="117">
        <v>0</v>
      </c>
      <c r="M6" s="117">
        <v>0</v>
      </c>
      <c r="N6" s="117">
        <v>7000</v>
      </c>
      <c r="O6" s="117">
        <v>0</v>
      </c>
      <c r="P6" s="128">
        <v>0</v>
      </c>
      <c r="Q6" s="129">
        <v>14000</v>
      </c>
      <c r="R6" s="117"/>
      <c r="S6" s="129">
        <f t="shared" si="0"/>
        <v>862554</v>
      </c>
    </row>
    <row r="7" spans="1:19" ht="15.75" thickBot="1">
      <c r="A7" s="125">
        <v>44075</v>
      </c>
      <c r="B7" s="161">
        <v>243580</v>
      </c>
      <c r="C7" s="142">
        <v>481562</v>
      </c>
      <c r="D7" s="117">
        <v>8000</v>
      </c>
      <c r="E7" s="117">
        <v>0</v>
      </c>
      <c r="F7" s="117">
        <v>5000</v>
      </c>
      <c r="G7" s="117">
        <v>3171</v>
      </c>
      <c r="H7" s="117">
        <v>456</v>
      </c>
      <c r="I7" s="117">
        <v>8300</v>
      </c>
      <c r="J7" s="117">
        <v>0</v>
      </c>
      <c r="K7" s="117">
        <v>5540</v>
      </c>
      <c r="L7" s="117">
        <v>0</v>
      </c>
      <c r="M7" s="117">
        <v>4000</v>
      </c>
      <c r="N7" s="117">
        <v>7000</v>
      </c>
      <c r="O7" s="117">
        <v>7000</v>
      </c>
      <c r="P7" s="128">
        <v>56500</v>
      </c>
      <c r="Q7" s="129">
        <v>15500</v>
      </c>
      <c r="R7" s="117"/>
      <c r="S7" s="129">
        <f t="shared" si="0"/>
        <v>845609</v>
      </c>
    </row>
    <row r="8" spans="1:19" ht="15.75" thickBot="1">
      <c r="A8" s="125">
        <v>44105</v>
      </c>
      <c r="B8" s="117">
        <v>201300</v>
      </c>
      <c r="C8" s="142">
        <v>532023</v>
      </c>
      <c r="D8" s="117">
        <v>8000</v>
      </c>
      <c r="E8" s="117">
        <v>0</v>
      </c>
      <c r="F8" s="117">
        <v>5000</v>
      </c>
      <c r="G8" s="117">
        <v>5284</v>
      </c>
      <c r="H8" s="117">
        <v>456</v>
      </c>
      <c r="I8" s="117">
        <v>6600</v>
      </c>
      <c r="J8" s="117">
        <v>0</v>
      </c>
      <c r="K8" s="162">
        <v>5690</v>
      </c>
      <c r="L8" s="117">
        <v>0</v>
      </c>
      <c r="M8" s="117">
        <v>4000</v>
      </c>
      <c r="N8" s="117">
        <v>7000</v>
      </c>
      <c r="O8" s="117">
        <v>7000</v>
      </c>
      <c r="P8" s="163">
        <v>75452</v>
      </c>
      <c r="Q8" s="129">
        <v>15000</v>
      </c>
      <c r="R8" s="117">
        <v>495144</v>
      </c>
      <c r="S8" s="129">
        <f t="shared" si="0"/>
        <v>1367949</v>
      </c>
    </row>
    <row r="9" spans="1:19" ht="15.75" thickBot="1">
      <c r="A9" s="125">
        <v>44136</v>
      </c>
      <c r="B9" s="117">
        <v>62500</v>
      </c>
      <c r="C9" s="142">
        <v>246136</v>
      </c>
      <c r="D9" s="117">
        <v>8000</v>
      </c>
      <c r="E9" s="117">
        <v>7500</v>
      </c>
      <c r="F9" s="117">
        <v>0</v>
      </c>
      <c r="G9" s="117">
        <v>367</v>
      </c>
      <c r="H9" s="117">
        <v>228</v>
      </c>
      <c r="I9" s="117">
        <v>8700</v>
      </c>
      <c r="J9" s="117">
        <v>0</v>
      </c>
      <c r="K9" s="117">
        <v>5500</v>
      </c>
      <c r="L9" s="117">
        <v>0</v>
      </c>
      <c r="M9" s="117">
        <v>0</v>
      </c>
      <c r="N9" s="117">
        <v>3500</v>
      </c>
      <c r="O9" s="117">
        <v>0</v>
      </c>
      <c r="P9" s="163">
        <v>131173</v>
      </c>
      <c r="Q9" s="129">
        <v>7000</v>
      </c>
      <c r="R9" s="117">
        <v>0</v>
      </c>
      <c r="S9" s="129">
        <f t="shared" si="0"/>
        <v>480604</v>
      </c>
    </row>
    <row r="10" spans="1:19" ht="15.75" thickBot="1">
      <c r="A10" s="125">
        <v>44166</v>
      </c>
      <c r="B10" s="117">
        <v>92400</v>
      </c>
      <c r="C10" s="142">
        <v>301151</v>
      </c>
      <c r="D10" s="117">
        <v>8000</v>
      </c>
      <c r="E10" s="117">
        <v>0</v>
      </c>
      <c r="F10" s="117">
        <v>5000</v>
      </c>
      <c r="G10" s="117">
        <v>2500</v>
      </c>
      <c r="H10" s="117">
        <v>3311</v>
      </c>
      <c r="I10" s="117">
        <v>9900</v>
      </c>
      <c r="J10" s="117">
        <v>0</v>
      </c>
      <c r="K10" s="117">
        <v>5990</v>
      </c>
      <c r="L10" s="117">
        <v>0</v>
      </c>
      <c r="M10" s="117">
        <v>0</v>
      </c>
      <c r="N10" s="117">
        <v>20000</v>
      </c>
      <c r="O10" s="117">
        <v>0</v>
      </c>
      <c r="P10" s="164">
        <v>144879</v>
      </c>
      <c r="Q10" s="129">
        <v>0</v>
      </c>
      <c r="R10" s="117"/>
      <c r="S10" s="129">
        <f t="shared" si="0"/>
        <v>593131</v>
      </c>
    </row>
    <row r="11" spans="1:19" ht="15.75" thickBot="1">
      <c r="A11" s="125">
        <v>44197</v>
      </c>
      <c r="B11" s="117">
        <v>142500</v>
      </c>
      <c r="C11" s="142">
        <v>437769</v>
      </c>
      <c r="D11" s="117">
        <v>8000</v>
      </c>
      <c r="E11" s="117">
        <v>2000</v>
      </c>
      <c r="F11" s="117">
        <v>0</v>
      </c>
      <c r="G11" s="117">
        <v>2380</v>
      </c>
      <c r="H11" s="117">
        <v>11983</v>
      </c>
      <c r="I11" s="117">
        <v>9100</v>
      </c>
      <c r="J11" s="117">
        <v>43380</v>
      </c>
      <c r="K11" s="117">
        <v>5450</v>
      </c>
      <c r="L11" s="117">
        <v>125981</v>
      </c>
      <c r="M11" s="117">
        <v>4000</v>
      </c>
      <c r="N11" s="117">
        <v>178500</v>
      </c>
      <c r="O11" s="117">
        <v>0</v>
      </c>
      <c r="P11" s="164">
        <v>88334</v>
      </c>
      <c r="Q11" s="129">
        <v>7000</v>
      </c>
      <c r="R11" s="117"/>
      <c r="S11" s="129">
        <f t="shared" si="0"/>
        <v>1066377</v>
      </c>
    </row>
    <row r="12" spans="1:19" ht="15.75" thickBot="1">
      <c r="A12" s="125">
        <v>44228</v>
      </c>
      <c r="B12" s="161">
        <v>105000</v>
      </c>
      <c r="C12" s="142">
        <v>345891</v>
      </c>
      <c r="D12" s="117">
        <v>8000</v>
      </c>
      <c r="E12" s="117">
        <v>0</v>
      </c>
      <c r="F12" s="117">
        <v>10000</v>
      </c>
      <c r="G12" s="117">
        <v>1900</v>
      </c>
      <c r="H12" s="117">
        <v>228</v>
      </c>
      <c r="I12" s="117">
        <v>9820</v>
      </c>
      <c r="J12" s="117">
        <v>0</v>
      </c>
      <c r="K12" s="117">
        <v>5550</v>
      </c>
      <c r="L12" s="117">
        <v>58507</v>
      </c>
      <c r="M12" s="117">
        <v>0</v>
      </c>
      <c r="N12" s="117">
        <v>306500</v>
      </c>
      <c r="O12" s="117">
        <v>0</v>
      </c>
      <c r="P12" s="164">
        <v>65424</v>
      </c>
      <c r="Q12" s="129">
        <v>0</v>
      </c>
      <c r="R12" s="117">
        <v>0</v>
      </c>
      <c r="S12" s="129">
        <f t="shared" si="0"/>
        <v>916820</v>
      </c>
    </row>
    <row r="13" spans="1:19" ht="15.75" thickBot="1">
      <c r="A13" s="125">
        <v>44256</v>
      </c>
      <c r="B13" s="165">
        <v>365000</v>
      </c>
      <c r="C13" s="142">
        <v>246946</v>
      </c>
      <c r="D13" s="141">
        <v>8000</v>
      </c>
      <c r="E13" s="141">
        <v>2000</v>
      </c>
      <c r="F13" s="141">
        <v>5000</v>
      </c>
      <c r="G13" s="141">
        <v>200</v>
      </c>
      <c r="H13" s="141">
        <v>228</v>
      </c>
      <c r="I13" s="141">
        <v>9100</v>
      </c>
      <c r="J13" s="141">
        <v>0</v>
      </c>
      <c r="K13" s="117">
        <v>5750</v>
      </c>
      <c r="L13" s="117">
        <v>0</v>
      </c>
      <c r="M13" s="117">
        <v>4000</v>
      </c>
      <c r="N13" s="117">
        <v>147500</v>
      </c>
      <c r="O13" s="117">
        <v>3500</v>
      </c>
      <c r="P13" s="163">
        <v>63907</v>
      </c>
      <c r="Q13" s="129">
        <v>7000</v>
      </c>
      <c r="R13" s="117">
        <v>282179</v>
      </c>
      <c r="S13" s="129">
        <f t="shared" si="0"/>
        <v>1150310</v>
      </c>
    </row>
    <row r="14" spans="1:19" ht="16.5" thickBot="1">
      <c r="A14" s="151" t="s">
        <v>20</v>
      </c>
      <c r="B14" s="147">
        <f>SUM(B2:B13)</f>
        <v>4270380</v>
      </c>
      <c r="C14" s="147">
        <f t="shared" ref="C14:O14" si="1">SUM(C2:C13)</f>
        <v>5233681</v>
      </c>
      <c r="D14" s="147">
        <f t="shared" si="1"/>
        <v>96000</v>
      </c>
      <c r="E14" s="147">
        <f t="shared" si="1"/>
        <v>13500</v>
      </c>
      <c r="F14" s="147">
        <f t="shared" si="1"/>
        <v>35000</v>
      </c>
      <c r="G14" s="147">
        <f t="shared" si="1"/>
        <v>22812</v>
      </c>
      <c r="H14" s="147">
        <f t="shared" si="1"/>
        <v>18714</v>
      </c>
      <c r="I14" s="147">
        <f>SUM(I2:I13)</f>
        <v>108200</v>
      </c>
      <c r="J14" s="147">
        <f t="shared" si="1"/>
        <v>43380</v>
      </c>
      <c r="K14" s="147">
        <f t="shared" si="1"/>
        <v>63010</v>
      </c>
      <c r="L14" s="147">
        <f t="shared" si="1"/>
        <v>184488</v>
      </c>
      <c r="M14" s="148">
        <f t="shared" si="1"/>
        <v>16000</v>
      </c>
      <c r="N14" s="148">
        <f t="shared" si="1"/>
        <v>715500</v>
      </c>
      <c r="O14" s="148">
        <f t="shared" si="1"/>
        <v>343000</v>
      </c>
      <c r="P14" s="149">
        <f>SUM(P2:P13)</f>
        <v>625669</v>
      </c>
      <c r="Q14" s="149">
        <f>SUM(Q2:Q13)</f>
        <v>135500</v>
      </c>
      <c r="R14" s="149">
        <f>SUM(R2:R13)</f>
        <v>777323</v>
      </c>
      <c r="S14" s="150">
        <f>SUM(B14:P14)</f>
        <v>11789334</v>
      </c>
    </row>
    <row r="16" spans="1:19" ht="18">
      <c r="A16" s="166" t="s">
        <v>287</v>
      </c>
      <c r="B16" s="167">
        <v>4270832</v>
      </c>
      <c r="C16" s="167">
        <v>4739269</v>
      </c>
      <c r="D16" s="168">
        <v>96000</v>
      </c>
      <c r="E16" s="167">
        <v>13500</v>
      </c>
      <c r="F16" s="167">
        <v>35000</v>
      </c>
      <c r="G16" s="167">
        <v>22964</v>
      </c>
      <c r="H16" s="160"/>
      <c r="I16" s="167">
        <v>104700</v>
      </c>
      <c r="J16" s="160"/>
      <c r="K16" s="167">
        <v>58020</v>
      </c>
      <c r="L16" s="167">
        <v>184488</v>
      </c>
      <c r="M16" s="160"/>
      <c r="N16" s="160"/>
      <c r="O16" s="167">
        <v>343000</v>
      </c>
      <c r="P16" s="167">
        <v>558696</v>
      </c>
      <c r="Q16" s="167">
        <v>135500</v>
      </c>
      <c r="R16" s="160"/>
      <c r="S16" s="160"/>
    </row>
    <row r="17" spans="1:19" ht="18">
      <c r="A17" s="166"/>
      <c r="B17" s="167"/>
      <c r="C17" s="167">
        <v>209363</v>
      </c>
      <c r="D17" s="168" t="s">
        <v>288</v>
      </c>
      <c r="E17" s="167"/>
      <c r="F17" s="167"/>
      <c r="G17" s="167"/>
      <c r="H17" s="169" t="s">
        <v>43</v>
      </c>
      <c r="I17" s="167">
        <v>1000</v>
      </c>
      <c r="J17" s="168" t="s">
        <v>43</v>
      </c>
      <c r="K17" s="167">
        <v>1900</v>
      </c>
      <c r="L17" s="167" t="s">
        <v>281</v>
      </c>
      <c r="M17" s="160"/>
      <c r="N17" s="160"/>
      <c r="O17" s="167" t="s">
        <v>43</v>
      </c>
      <c r="P17" s="167">
        <v>25602</v>
      </c>
      <c r="Q17" s="167" t="s">
        <v>289</v>
      </c>
      <c r="R17" s="160"/>
      <c r="S17" s="160"/>
    </row>
    <row r="18" spans="1:19" ht="18">
      <c r="A18" s="166"/>
      <c r="B18" s="167"/>
      <c r="C18" s="167">
        <v>211090</v>
      </c>
      <c r="D18" s="168" t="s">
        <v>290</v>
      </c>
      <c r="E18" s="167"/>
      <c r="F18" s="167"/>
      <c r="G18" s="167"/>
      <c r="H18" s="160"/>
      <c r="I18" s="167"/>
      <c r="J18" s="160"/>
      <c r="K18" s="167">
        <v>800</v>
      </c>
      <c r="L18" s="167" t="s">
        <v>281</v>
      </c>
      <c r="M18" s="160"/>
      <c r="N18" s="160"/>
      <c r="O18" s="167" t="s">
        <v>44</v>
      </c>
      <c r="P18" s="167">
        <v>18645</v>
      </c>
      <c r="Q18" s="167" t="s">
        <v>289</v>
      </c>
      <c r="R18" s="160"/>
      <c r="S18" s="160"/>
    </row>
    <row r="19" spans="1:19" ht="18">
      <c r="A19" s="166"/>
      <c r="B19" s="167"/>
      <c r="C19" s="167">
        <v>93247</v>
      </c>
      <c r="D19" s="168" t="s">
        <v>291</v>
      </c>
      <c r="E19" s="167"/>
      <c r="F19" s="167"/>
      <c r="G19" s="167"/>
      <c r="H19" s="160"/>
      <c r="I19" s="167"/>
      <c r="J19" s="160"/>
      <c r="K19" s="167"/>
      <c r="L19" s="167"/>
      <c r="M19" s="160"/>
      <c r="N19" s="160"/>
      <c r="O19" s="167"/>
      <c r="P19" s="167"/>
      <c r="Q19" s="167"/>
      <c r="R19" s="160"/>
      <c r="S19" s="160"/>
    </row>
    <row r="20" spans="1:19" ht="18">
      <c r="A20" s="166"/>
      <c r="B20" s="167" t="s">
        <v>292</v>
      </c>
      <c r="C20" s="167">
        <f>SUM(C16:C19)</f>
        <v>5252969</v>
      </c>
      <c r="D20" s="168"/>
      <c r="E20" s="167"/>
      <c r="F20" s="167"/>
      <c r="G20" s="167"/>
      <c r="H20" s="160"/>
      <c r="I20" s="167">
        <v>2500</v>
      </c>
      <c r="J20" s="168" t="s">
        <v>293</v>
      </c>
      <c r="K20" s="167">
        <v>1900</v>
      </c>
      <c r="L20" s="167" t="s">
        <v>281</v>
      </c>
      <c r="M20" s="160"/>
      <c r="N20" s="160"/>
      <c r="O20" s="167" t="s">
        <v>293</v>
      </c>
      <c r="P20" s="167">
        <v>19869</v>
      </c>
      <c r="Q20" s="167" t="s">
        <v>289</v>
      </c>
      <c r="R20" s="160"/>
      <c r="S20" s="160"/>
    </row>
    <row r="22" spans="1:19" ht="18">
      <c r="A22" s="166" t="s">
        <v>294</v>
      </c>
      <c r="B22" s="158">
        <f>+B14-B16</f>
        <v>-452</v>
      </c>
      <c r="C22" s="158">
        <f>-C14+C20</f>
        <v>19288</v>
      </c>
      <c r="D22" s="158">
        <f t="shared" ref="D22:Q22" si="2">+D14-D16</f>
        <v>0</v>
      </c>
      <c r="E22" s="158">
        <f t="shared" si="2"/>
        <v>0</v>
      </c>
      <c r="F22" s="158">
        <f t="shared" si="2"/>
        <v>0</v>
      </c>
      <c r="G22" s="158">
        <f t="shared" si="2"/>
        <v>-152</v>
      </c>
      <c r="H22" s="158"/>
      <c r="I22" s="158"/>
      <c r="J22" s="158"/>
      <c r="K22" s="158">
        <v>390</v>
      </c>
      <c r="L22" s="158">
        <f t="shared" si="2"/>
        <v>0</v>
      </c>
      <c r="M22" s="158"/>
      <c r="N22" s="158"/>
      <c r="O22" s="158">
        <v>0</v>
      </c>
      <c r="P22" s="158">
        <v>2857</v>
      </c>
      <c r="Q22" s="158">
        <f t="shared" si="2"/>
        <v>0</v>
      </c>
      <c r="R22" s="158"/>
      <c r="S22" s="170">
        <v>592769</v>
      </c>
    </row>
    <row r="23" spans="1:19" ht="15.75">
      <c r="A23" s="153" t="s">
        <v>295</v>
      </c>
      <c r="C23" s="171"/>
      <c r="K23" s="158"/>
    </row>
    <row r="24" spans="1:19">
      <c r="C24" s="153"/>
      <c r="K24" s="153"/>
    </row>
    <row r="25" spans="1:19">
      <c r="A25" s="153"/>
      <c r="K25" s="15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72"/>
  <sheetViews>
    <sheetView topLeftCell="C1" workbookViewId="0">
      <pane ySplit="1" topLeftCell="A2" activePane="bottomLeft" state="frozen"/>
      <selection pane="bottomLeft" activeCell="H15" sqref="H15:H17"/>
    </sheetView>
  </sheetViews>
  <sheetFormatPr defaultRowHeight="15"/>
  <cols>
    <col min="1" max="1" width="11.85546875" customWidth="1"/>
    <col min="2" max="2" width="13.28515625" bestFit="1" customWidth="1"/>
    <col min="3" max="3" width="13.42578125" bestFit="1" customWidth="1"/>
    <col min="4" max="4" width="11.5703125" bestFit="1" customWidth="1"/>
    <col min="5" max="5" width="12.140625" bestFit="1" customWidth="1"/>
    <col min="6" max="7" width="11.5703125" bestFit="1" customWidth="1"/>
    <col min="8" max="8" width="12.42578125" customWidth="1"/>
    <col min="10" max="10" width="10.28515625" customWidth="1"/>
    <col min="13" max="14" width="10.5703125" bestFit="1" customWidth="1"/>
    <col min="15" max="15" width="13.85546875" customWidth="1"/>
    <col min="16" max="16" width="9.7109375" bestFit="1" customWidth="1"/>
    <col min="17" max="17" width="11.85546875" bestFit="1" customWidth="1"/>
    <col min="18" max="18" width="10.28515625" bestFit="1" customWidth="1"/>
    <col min="21" max="21" width="12" bestFit="1" customWidth="1"/>
    <col min="22" max="22" width="7" customWidth="1"/>
    <col min="28" max="29" width="7.5703125" customWidth="1"/>
    <col min="30" max="30" width="12.28515625" bestFit="1" customWidth="1"/>
    <col min="31" max="37" width="12.28515625" customWidth="1"/>
  </cols>
  <sheetData>
    <row r="1" spans="1:40"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91" t="s">
        <v>159</v>
      </c>
      <c r="AF1" s="91" t="s">
        <v>160</v>
      </c>
      <c r="AG1" s="91" t="s">
        <v>164</v>
      </c>
      <c r="AH1" s="91" t="s">
        <v>161</v>
      </c>
      <c r="AI1" s="91" t="s">
        <v>162</v>
      </c>
      <c r="AJ1" s="91" t="s">
        <v>163</v>
      </c>
      <c r="AK1" s="91" t="s">
        <v>165</v>
      </c>
      <c r="AL1" s="18" t="s">
        <v>62</v>
      </c>
    </row>
    <row r="2" spans="1:40"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91"/>
      <c r="AF2" s="91"/>
      <c r="AG2" s="91"/>
      <c r="AH2" s="91"/>
      <c r="AI2" s="91"/>
      <c r="AJ2" s="91"/>
      <c r="AK2" s="91"/>
      <c r="AL2" s="18"/>
    </row>
    <row r="3" spans="1:40" ht="16.5" thickBot="1">
      <c r="A3" s="19" t="s">
        <v>36</v>
      </c>
      <c r="B3">
        <v>108280</v>
      </c>
      <c r="C3" s="20">
        <v>38900</v>
      </c>
      <c r="D3" s="20">
        <v>39249</v>
      </c>
      <c r="E3" s="20"/>
      <c r="F3" s="20"/>
      <c r="G3" s="20">
        <v>8500</v>
      </c>
      <c r="H3" s="20">
        <v>77619</v>
      </c>
      <c r="I3" s="20"/>
      <c r="J3" s="20">
        <v>3500</v>
      </c>
      <c r="K3" s="20"/>
      <c r="L3" s="20">
        <v>338</v>
      </c>
      <c r="M3" s="20">
        <v>29140</v>
      </c>
      <c r="N3" s="20">
        <v>6710</v>
      </c>
      <c r="O3" s="20">
        <v>208</v>
      </c>
      <c r="P3" s="20">
        <v>140</v>
      </c>
      <c r="Q3" s="20">
        <v>30</v>
      </c>
      <c r="R3" s="20">
        <v>1619</v>
      </c>
      <c r="S3" s="20"/>
      <c r="T3" s="20"/>
      <c r="U3" s="20">
        <v>10000</v>
      </c>
      <c r="V3" s="20"/>
      <c r="W3" s="20"/>
      <c r="X3" s="20"/>
      <c r="Y3" s="20"/>
      <c r="Z3" s="20">
        <v>826</v>
      </c>
      <c r="AA3" s="20"/>
      <c r="AB3" s="20"/>
      <c r="AC3" s="68"/>
      <c r="AD3" s="27">
        <f>SUM(B3:AB3)</f>
        <v>325059</v>
      </c>
      <c r="AE3" s="92"/>
      <c r="AF3" s="92"/>
      <c r="AG3" s="92"/>
      <c r="AH3" s="92"/>
      <c r="AI3" s="92"/>
      <c r="AJ3" s="92"/>
      <c r="AK3" s="92"/>
      <c r="AL3" s="20"/>
    </row>
    <row r="4" spans="1:40" ht="16.5" thickBot="1">
      <c r="A4" s="21" t="s">
        <v>37</v>
      </c>
      <c r="B4" s="3">
        <v>362380</v>
      </c>
      <c r="C4" s="20">
        <v>51900</v>
      </c>
      <c r="D4" s="20">
        <v>39847</v>
      </c>
      <c r="E4" s="3"/>
      <c r="F4" s="3"/>
      <c r="G4" s="3">
        <v>6000</v>
      </c>
      <c r="H4" s="3">
        <v>6520</v>
      </c>
      <c r="I4" s="3"/>
      <c r="J4" s="3">
        <v>3500</v>
      </c>
      <c r="K4" s="3"/>
      <c r="L4" s="3">
        <v>421</v>
      </c>
      <c r="M4" s="3">
        <v>14603</v>
      </c>
      <c r="N4" s="3">
        <v>1091</v>
      </c>
      <c r="O4" s="3">
        <v>6715</v>
      </c>
      <c r="P4" s="3">
        <v>320</v>
      </c>
      <c r="Q4" s="3">
        <v>595</v>
      </c>
      <c r="R4" s="3"/>
      <c r="S4" s="3"/>
      <c r="T4" s="3"/>
      <c r="U4" s="3">
        <v>20000</v>
      </c>
      <c r="V4" s="3"/>
      <c r="W4" s="3"/>
      <c r="X4" s="3">
        <v>7865</v>
      </c>
      <c r="Y4" s="3"/>
      <c r="Z4" s="3">
        <v>403</v>
      </c>
      <c r="AA4" s="3"/>
      <c r="AB4" s="3"/>
      <c r="AC4" s="69"/>
      <c r="AD4" s="27">
        <f>SUM(B4:AC4)</f>
        <v>522160</v>
      </c>
      <c r="AE4" s="93"/>
      <c r="AF4" s="93"/>
      <c r="AG4" s="93"/>
      <c r="AH4" s="93"/>
      <c r="AI4" s="93"/>
      <c r="AJ4" s="93"/>
      <c r="AK4" s="93"/>
      <c r="AL4" s="3"/>
    </row>
    <row r="5" spans="1:40" ht="16.5" thickBot="1">
      <c r="A5" s="21" t="s">
        <v>56</v>
      </c>
      <c r="B5" s="3">
        <v>545280</v>
      </c>
      <c r="C5" s="20">
        <v>53900</v>
      </c>
      <c r="D5" s="20">
        <v>39847</v>
      </c>
      <c r="E5" s="3"/>
      <c r="F5" s="3"/>
      <c r="G5" s="3">
        <v>10500</v>
      </c>
      <c r="H5" s="3">
        <v>14775</v>
      </c>
      <c r="I5" s="3"/>
      <c r="J5" s="3">
        <v>3500</v>
      </c>
      <c r="K5" s="3"/>
      <c r="L5" s="3">
        <v>20950</v>
      </c>
      <c r="M5" s="3">
        <v>2990</v>
      </c>
      <c r="N5" s="3">
        <v>684</v>
      </c>
      <c r="O5" s="3">
        <v>2266</v>
      </c>
      <c r="P5" s="3">
        <v>240</v>
      </c>
      <c r="Q5" s="3">
        <v>12693</v>
      </c>
      <c r="R5" s="3">
        <v>20000</v>
      </c>
      <c r="S5" s="3"/>
      <c r="T5" s="3"/>
      <c r="U5" s="3">
        <v>41123</v>
      </c>
      <c r="V5" s="3"/>
      <c r="W5" s="3">
        <v>8960</v>
      </c>
      <c r="X5" s="3"/>
      <c r="Y5" s="3"/>
      <c r="Z5" s="3">
        <v>403</v>
      </c>
      <c r="AA5" s="3"/>
      <c r="AB5" s="3"/>
      <c r="AC5" s="69"/>
      <c r="AD5" s="27">
        <f t="shared" ref="AD5:AD15" si="0">SUM(B5:AC5)</f>
        <v>778111</v>
      </c>
      <c r="AE5" s="93"/>
      <c r="AF5" s="93"/>
      <c r="AG5" s="93"/>
      <c r="AH5" s="93"/>
      <c r="AI5" s="93"/>
      <c r="AJ5" s="93">
        <v>35189</v>
      </c>
      <c r="AK5" s="93"/>
      <c r="AL5" s="3"/>
    </row>
    <row r="6" spans="1:40" ht="16.5" thickBot="1">
      <c r="A6" s="21" t="s">
        <v>39</v>
      </c>
      <c r="B6" s="3">
        <v>583510</v>
      </c>
      <c r="C6" s="20">
        <v>40200</v>
      </c>
      <c r="D6" s="20">
        <v>39847</v>
      </c>
      <c r="E6" s="3"/>
      <c r="F6" s="3"/>
      <c r="G6" s="3">
        <v>11000</v>
      </c>
      <c r="H6" s="3">
        <v>8715</v>
      </c>
      <c r="I6" s="3"/>
      <c r="J6" s="3">
        <v>3500</v>
      </c>
      <c r="K6" s="3"/>
      <c r="L6" s="3">
        <v>555</v>
      </c>
      <c r="M6" s="3">
        <v>3440</v>
      </c>
      <c r="N6" s="3">
        <v>2914</v>
      </c>
      <c r="O6" s="3">
        <v>130</v>
      </c>
      <c r="P6" s="3">
        <v>595</v>
      </c>
      <c r="Q6" s="3"/>
      <c r="R6" s="3">
        <v>29575</v>
      </c>
      <c r="S6" s="3"/>
      <c r="T6" s="3"/>
      <c r="U6" s="3"/>
      <c r="V6" s="3"/>
      <c r="W6" s="3"/>
      <c r="X6" s="3"/>
      <c r="Y6" s="3"/>
      <c r="Z6" s="3">
        <v>403</v>
      </c>
      <c r="AA6" s="3"/>
      <c r="AB6" s="3"/>
      <c r="AC6" s="69"/>
      <c r="AD6" s="27">
        <f t="shared" si="0"/>
        <v>724384</v>
      </c>
      <c r="AE6" s="93"/>
      <c r="AF6" s="93"/>
      <c r="AG6" s="93"/>
      <c r="AH6" s="93"/>
      <c r="AI6" s="93"/>
      <c r="AJ6" s="93"/>
      <c r="AK6" s="93"/>
      <c r="AL6" s="3"/>
    </row>
    <row r="7" spans="1:40" ht="16.5" thickBot="1">
      <c r="A7" s="21" t="s">
        <v>40</v>
      </c>
      <c r="B7" s="3">
        <v>508120</v>
      </c>
      <c r="C7" s="20">
        <v>36500</v>
      </c>
      <c r="D7" s="20">
        <v>39847</v>
      </c>
      <c r="E7" s="3">
        <v>321368</v>
      </c>
      <c r="F7" s="3">
        <v>250000</v>
      </c>
      <c r="G7" s="3">
        <v>8000</v>
      </c>
      <c r="H7" s="3">
        <v>8565</v>
      </c>
      <c r="I7" s="3">
        <v>505</v>
      </c>
      <c r="J7" s="3">
        <v>3500</v>
      </c>
      <c r="K7" s="3"/>
      <c r="L7" s="3">
        <v>230</v>
      </c>
      <c r="M7" s="3">
        <v>4762</v>
      </c>
      <c r="N7" s="3">
        <v>712</v>
      </c>
      <c r="O7" s="3">
        <v>1695</v>
      </c>
      <c r="P7" s="3">
        <v>755</v>
      </c>
      <c r="Q7" s="3">
        <v>10459</v>
      </c>
      <c r="R7" s="3">
        <v>59760</v>
      </c>
      <c r="S7" s="3"/>
      <c r="T7" s="3">
        <v>16696</v>
      </c>
      <c r="U7" s="3">
        <v>10000</v>
      </c>
      <c r="V7" s="3"/>
      <c r="W7" s="3"/>
      <c r="X7" s="3"/>
      <c r="Y7" s="3"/>
      <c r="Z7" s="3"/>
      <c r="AA7" s="3"/>
      <c r="AB7" s="3"/>
      <c r="AC7" s="69"/>
      <c r="AD7" s="27">
        <f t="shared" si="0"/>
        <v>1281474</v>
      </c>
      <c r="AE7" s="93"/>
      <c r="AF7" s="93"/>
      <c r="AG7" s="93"/>
      <c r="AH7" s="93"/>
      <c r="AI7" s="93"/>
      <c r="AJ7" s="93">
        <f>3700+17336</f>
        <v>21036</v>
      </c>
      <c r="AK7" s="93"/>
      <c r="AL7" s="3"/>
      <c r="AM7">
        <v>1000</v>
      </c>
      <c r="AN7" t="s">
        <v>167</v>
      </c>
    </row>
    <row r="8" spans="1:40" ht="16.5" thickBot="1">
      <c r="A8" s="21" t="s">
        <v>42</v>
      </c>
      <c r="B8" s="3">
        <v>470970</v>
      </c>
      <c r="C8" s="20">
        <v>44900</v>
      </c>
      <c r="D8" s="20">
        <v>42694</v>
      </c>
      <c r="E8" s="3"/>
      <c r="F8" s="3">
        <v>100000</v>
      </c>
      <c r="G8" s="3">
        <v>3500</v>
      </c>
      <c r="H8" s="3">
        <v>26000</v>
      </c>
      <c r="I8" s="3">
        <v>220</v>
      </c>
      <c r="J8" s="3"/>
      <c r="K8" s="3"/>
      <c r="L8" s="3">
        <v>835</v>
      </c>
      <c r="M8" s="3">
        <v>1000</v>
      </c>
      <c r="N8" s="3">
        <v>2044</v>
      </c>
      <c r="O8" s="3">
        <v>319</v>
      </c>
      <c r="P8" s="3">
        <v>620</v>
      </c>
      <c r="Q8" s="3"/>
      <c r="R8" s="3">
        <v>17886</v>
      </c>
      <c r="S8" s="3"/>
      <c r="T8" s="3"/>
      <c r="U8" s="3">
        <v>10000</v>
      </c>
      <c r="V8" s="3"/>
      <c r="W8" s="3"/>
      <c r="X8" s="3"/>
      <c r="Y8" s="3"/>
      <c r="Z8" s="3"/>
      <c r="AA8" s="3"/>
      <c r="AB8" s="3"/>
      <c r="AC8" s="69"/>
      <c r="AD8" s="27">
        <f t="shared" si="0"/>
        <v>720988</v>
      </c>
      <c r="AE8" s="93"/>
      <c r="AF8" s="93"/>
      <c r="AG8" s="93"/>
      <c r="AH8" s="93"/>
      <c r="AI8" s="93"/>
      <c r="AJ8" s="93">
        <v>6450</v>
      </c>
      <c r="AK8" s="93"/>
      <c r="AL8" s="3"/>
      <c r="AM8" t="s">
        <v>166</v>
      </c>
    </row>
    <row r="9" spans="1:40" ht="16.5" thickBot="1">
      <c r="A9" s="21" t="s">
        <v>43</v>
      </c>
      <c r="B9" s="3">
        <v>448930</v>
      </c>
      <c r="C9" s="20">
        <v>52600</v>
      </c>
      <c r="D9" s="20">
        <v>42694</v>
      </c>
      <c r="E9" s="3"/>
      <c r="F9" s="3"/>
      <c r="G9" s="3">
        <v>5000</v>
      </c>
      <c r="H9" s="3">
        <v>25310</v>
      </c>
      <c r="I9" s="3">
        <v>560</v>
      </c>
      <c r="J9" s="3"/>
      <c r="K9" s="3"/>
      <c r="L9" s="3">
        <v>160</v>
      </c>
      <c r="M9" s="3">
        <v>1050</v>
      </c>
      <c r="N9" s="3">
        <v>900</v>
      </c>
      <c r="O9" s="3">
        <v>360</v>
      </c>
      <c r="P9" s="3">
        <v>1080</v>
      </c>
      <c r="Q9" s="3">
        <v>14775</v>
      </c>
      <c r="R9" s="3">
        <v>2470</v>
      </c>
      <c r="S9" s="3"/>
      <c r="T9" s="3"/>
      <c r="U9" s="3">
        <v>10000</v>
      </c>
      <c r="V9" s="3"/>
      <c r="W9" s="3"/>
      <c r="X9" s="3"/>
      <c r="Y9" s="3"/>
      <c r="Z9" s="3">
        <v>500</v>
      </c>
      <c r="AA9" s="3"/>
      <c r="AB9" s="3"/>
      <c r="AC9" s="69"/>
      <c r="AD9" s="27">
        <f t="shared" si="0"/>
        <v>606389</v>
      </c>
      <c r="AE9" s="93">
        <f>96363+16800</f>
        <v>113163</v>
      </c>
      <c r="AF9" s="93"/>
      <c r="AG9" s="93">
        <v>9823</v>
      </c>
      <c r="AH9" s="93"/>
      <c r="AI9" s="93"/>
      <c r="AJ9" s="93"/>
      <c r="AK9" s="93">
        <v>45500</v>
      </c>
      <c r="AL9" s="3"/>
    </row>
    <row r="10" spans="1:40" ht="16.5" thickBot="1">
      <c r="A10" s="21" t="s">
        <v>44</v>
      </c>
      <c r="B10" s="3">
        <v>337340</v>
      </c>
      <c r="C10" s="20">
        <v>41900</v>
      </c>
      <c r="D10" s="20">
        <v>42694</v>
      </c>
      <c r="E10" s="3"/>
      <c r="F10" s="3"/>
      <c r="G10" s="3">
        <v>5500</v>
      </c>
      <c r="H10" s="3">
        <v>13862</v>
      </c>
      <c r="I10" s="3">
        <v>200</v>
      </c>
      <c r="J10" s="3"/>
      <c r="K10" s="3"/>
      <c r="L10" s="3">
        <v>710</v>
      </c>
      <c r="M10" s="3">
        <v>19670</v>
      </c>
      <c r="N10" s="3">
        <v>1510</v>
      </c>
      <c r="O10" s="3">
        <v>1728</v>
      </c>
      <c r="P10" s="3">
        <v>1820</v>
      </c>
      <c r="Q10" s="3"/>
      <c r="R10" s="3"/>
      <c r="S10" s="3"/>
      <c r="T10" s="3"/>
      <c r="U10" s="3">
        <v>12000</v>
      </c>
      <c r="V10" s="3"/>
      <c r="W10" s="3"/>
      <c r="X10" s="3"/>
      <c r="Y10" s="3"/>
      <c r="Z10" s="3">
        <v>15931</v>
      </c>
      <c r="AA10" s="3"/>
      <c r="AB10" s="3"/>
      <c r="AC10" s="69"/>
      <c r="AD10" s="27">
        <f t="shared" si="0"/>
        <v>494865</v>
      </c>
      <c r="AE10" s="93">
        <f>15320+ 19724</f>
        <v>35044</v>
      </c>
      <c r="AF10" s="93"/>
      <c r="AG10" s="93">
        <v>500</v>
      </c>
      <c r="AH10" s="93"/>
      <c r="AI10" s="93"/>
      <c r="AJ10" s="93"/>
      <c r="AK10" s="93"/>
      <c r="AL10" s="3"/>
    </row>
    <row r="11" spans="1:40" ht="16.5" thickBot="1">
      <c r="A11" s="21" t="s">
        <v>45</v>
      </c>
      <c r="B11" s="74">
        <v>207120</v>
      </c>
      <c r="C11" s="20">
        <v>41900</v>
      </c>
      <c r="D11" s="20">
        <v>42954</v>
      </c>
      <c r="E11" s="3"/>
      <c r="F11" s="3"/>
      <c r="G11" s="3">
        <v>6150</v>
      </c>
      <c r="H11" s="3">
        <v>47880</v>
      </c>
      <c r="I11" s="3">
        <v>2000</v>
      </c>
      <c r="J11" s="3"/>
      <c r="K11" s="3"/>
      <c r="L11" s="3">
        <v>1478</v>
      </c>
      <c r="M11" s="3">
        <v>15800</v>
      </c>
      <c r="N11" s="3">
        <v>500</v>
      </c>
      <c r="O11" s="3">
        <v>610</v>
      </c>
      <c r="P11" s="3">
        <v>850</v>
      </c>
      <c r="Q11" s="3">
        <v>14893</v>
      </c>
      <c r="R11" s="3"/>
      <c r="S11" s="3"/>
      <c r="T11" s="3"/>
      <c r="U11" s="3">
        <v>10000</v>
      </c>
      <c r="V11" s="3"/>
      <c r="W11" s="3"/>
      <c r="X11" s="3"/>
      <c r="Y11" s="3"/>
      <c r="Z11" s="3">
        <v>450</v>
      </c>
      <c r="AA11" s="3"/>
      <c r="AB11" s="3"/>
      <c r="AC11" s="69"/>
      <c r="AD11" s="27">
        <f t="shared" si="0"/>
        <v>392585</v>
      </c>
      <c r="AE11" s="93"/>
      <c r="AF11" s="93"/>
      <c r="AG11" s="93"/>
      <c r="AH11" s="93"/>
      <c r="AI11" s="93"/>
      <c r="AJ11" s="93"/>
      <c r="AK11" s="93"/>
      <c r="AL11" s="3"/>
    </row>
    <row r="12" spans="1:40" ht="16.5" thickBot="1">
      <c r="A12" s="21" t="s">
        <v>47</v>
      </c>
      <c r="B12" s="3">
        <v>249430</v>
      </c>
      <c r="C12" s="20">
        <v>41900</v>
      </c>
      <c r="D12" s="20">
        <v>42964</v>
      </c>
      <c r="E12" s="3"/>
      <c r="F12" s="3">
        <v>916900</v>
      </c>
      <c r="G12" s="3">
        <v>2000</v>
      </c>
      <c r="H12" s="3">
        <v>20005</v>
      </c>
      <c r="I12" s="3">
        <v>200</v>
      </c>
      <c r="J12" s="3"/>
      <c r="K12" s="3"/>
      <c r="L12" s="3">
        <v>509</v>
      </c>
      <c r="M12" s="3">
        <v>21200</v>
      </c>
      <c r="N12" s="3">
        <v>1204</v>
      </c>
      <c r="O12" s="3">
        <v>1331</v>
      </c>
      <c r="P12" s="3">
        <v>555</v>
      </c>
      <c r="Q12" s="3">
        <v>31230</v>
      </c>
      <c r="R12" s="3"/>
      <c r="S12" s="3"/>
      <c r="T12" s="3"/>
      <c r="U12" s="3">
        <v>10000</v>
      </c>
      <c r="V12" s="3"/>
      <c r="W12" s="3"/>
      <c r="X12" s="3"/>
      <c r="Y12" s="3"/>
      <c r="Z12" s="3">
        <v>431</v>
      </c>
      <c r="AA12" s="3"/>
      <c r="AB12" s="3"/>
      <c r="AC12" s="69"/>
      <c r="AD12" s="27">
        <f t="shared" si="0"/>
        <v>1339859</v>
      </c>
      <c r="AE12" s="93">
        <v>2500</v>
      </c>
      <c r="AF12" s="93">
        <v>2543</v>
      </c>
      <c r="AG12" s="93"/>
      <c r="AH12" s="93"/>
      <c r="AI12" s="93"/>
      <c r="AJ12" s="93">
        <v>31716</v>
      </c>
      <c r="AK12" s="93"/>
      <c r="AL12" s="3"/>
    </row>
    <row r="13" spans="1:40" ht="16.5" thickBot="1">
      <c r="A13" s="21" t="s">
        <v>50</v>
      </c>
      <c r="B13" s="3">
        <v>332720</v>
      </c>
      <c r="C13" s="3">
        <v>46900</v>
      </c>
      <c r="D13" s="20">
        <v>42694</v>
      </c>
      <c r="E13" s="3"/>
      <c r="F13" s="3"/>
      <c r="G13" s="3">
        <v>7650</v>
      </c>
      <c r="H13" s="3">
        <v>44788</v>
      </c>
      <c r="I13" s="3">
        <v>1915</v>
      </c>
      <c r="J13" s="3"/>
      <c r="K13" s="3"/>
      <c r="L13" s="3">
        <v>560</v>
      </c>
      <c r="M13" s="3">
        <v>1300</v>
      </c>
      <c r="N13" s="3">
        <v>1820</v>
      </c>
      <c r="O13" s="3">
        <v>2458</v>
      </c>
      <c r="P13" s="3">
        <v>350</v>
      </c>
      <c r="Q13" s="3">
        <v>35588</v>
      </c>
      <c r="R13" s="3">
        <v>1750</v>
      </c>
      <c r="S13" s="3"/>
      <c r="T13" s="3"/>
      <c r="U13" s="3"/>
      <c r="V13" s="3"/>
      <c r="W13" s="3"/>
      <c r="X13" s="3"/>
      <c r="Y13" s="3"/>
      <c r="Z13" s="3">
        <v>15448</v>
      </c>
      <c r="AA13" s="3"/>
      <c r="AB13" s="3"/>
      <c r="AC13" s="69">
        <v>48480</v>
      </c>
      <c r="AD13" s="27">
        <f t="shared" si="0"/>
        <v>584421</v>
      </c>
      <c r="AE13" s="93"/>
      <c r="AF13" s="93"/>
      <c r="AG13" s="93"/>
      <c r="AH13" s="93"/>
      <c r="AI13" s="93">
        <v>150000</v>
      </c>
      <c r="AJ13" s="93"/>
      <c r="AK13" s="93"/>
      <c r="AL13" s="3"/>
    </row>
    <row r="14" spans="1:40" ht="16.5" thickBot="1">
      <c r="A14" s="21" t="s">
        <v>51</v>
      </c>
      <c r="B14" s="24">
        <v>441979</v>
      </c>
      <c r="C14" s="24">
        <v>56900</v>
      </c>
      <c r="D14" s="20">
        <v>42694</v>
      </c>
      <c r="E14" s="24"/>
      <c r="F14" s="24"/>
      <c r="G14" s="24"/>
      <c r="H14" s="24">
        <v>44570</v>
      </c>
      <c r="I14" s="24">
        <v>200</v>
      </c>
      <c r="J14" s="24">
        <v>5810</v>
      </c>
      <c r="K14" s="24"/>
      <c r="L14" s="24">
        <v>441</v>
      </c>
      <c r="M14" s="24">
        <v>4500</v>
      </c>
      <c r="N14" s="24">
        <v>2702</v>
      </c>
      <c r="O14" s="24">
        <v>335</v>
      </c>
      <c r="P14" s="24">
        <v>350</v>
      </c>
      <c r="Q14" s="24">
        <v>4362</v>
      </c>
      <c r="R14" s="24">
        <v>2900</v>
      </c>
      <c r="S14" s="24"/>
      <c r="T14" s="24"/>
      <c r="U14" s="24">
        <v>15000</v>
      </c>
      <c r="V14" s="24"/>
      <c r="W14" s="24"/>
      <c r="X14" s="24"/>
      <c r="Y14" s="24"/>
      <c r="Z14" s="24">
        <v>4631</v>
      </c>
      <c r="AA14" s="24"/>
      <c r="AB14" s="24"/>
      <c r="AC14" s="70"/>
      <c r="AD14" s="27">
        <f t="shared" si="0"/>
        <v>627374</v>
      </c>
      <c r="AE14" s="94">
        <v>6000</v>
      </c>
      <c r="AF14" s="94">
        <v>4500</v>
      </c>
      <c r="AG14" s="94">
        <v>1410</v>
      </c>
      <c r="AH14" s="94">
        <v>135000</v>
      </c>
      <c r="AI14" s="94">
        <v>127625</v>
      </c>
      <c r="AJ14" s="94"/>
      <c r="AK14" s="94"/>
      <c r="AL14" s="24"/>
    </row>
    <row r="15" spans="1:40" ht="15.75">
      <c r="A15" s="99" t="s">
        <v>213</v>
      </c>
      <c r="B15" s="59">
        <f>SUM(B3:B14)</f>
        <v>4596059</v>
      </c>
      <c r="C15" s="59">
        <f t="shared" ref="C15:U15" si="1">SUM(C3:C14)</f>
        <v>548400</v>
      </c>
      <c r="D15" s="59">
        <f t="shared" si="1"/>
        <v>498025</v>
      </c>
      <c r="E15" s="59">
        <f t="shared" si="1"/>
        <v>321368</v>
      </c>
      <c r="F15" s="59">
        <f t="shared" si="1"/>
        <v>1266900</v>
      </c>
      <c r="G15" s="59">
        <f t="shared" si="1"/>
        <v>73800</v>
      </c>
      <c r="H15" s="59">
        <f t="shared" si="1"/>
        <v>338609</v>
      </c>
      <c r="I15" s="59">
        <f t="shared" si="1"/>
        <v>5800</v>
      </c>
      <c r="J15" s="59">
        <f t="shared" si="1"/>
        <v>23310</v>
      </c>
      <c r="K15" s="59">
        <f t="shared" si="1"/>
        <v>0</v>
      </c>
      <c r="L15" s="59">
        <f t="shared" si="1"/>
        <v>27187</v>
      </c>
      <c r="M15" s="59">
        <f t="shared" si="1"/>
        <v>119455</v>
      </c>
      <c r="N15" s="59">
        <f t="shared" si="1"/>
        <v>22791</v>
      </c>
      <c r="O15" s="59">
        <f t="shared" si="1"/>
        <v>18155</v>
      </c>
      <c r="P15" s="59">
        <f t="shared" si="1"/>
        <v>7675</v>
      </c>
      <c r="Q15" s="59">
        <f t="shared" si="1"/>
        <v>124625</v>
      </c>
      <c r="R15" s="59">
        <f t="shared" si="1"/>
        <v>135960</v>
      </c>
      <c r="S15" s="59">
        <f t="shared" si="1"/>
        <v>0</v>
      </c>
      <c r="T15" s="59">
        <f t="shared" si="1"/>
        <v>16696</v>
      </c>
      <c r="U15" s="59">
        <f t="shared" si="1"/>
        <v>148123</v>
      </c>
      <c r="V15" s="59">
        <f t="shared" ref="V15" si="2">SUM(V3:V14)</f>
        <v>0</v>
      </c>
      <c r="W15" s="59">
        <f t="shared" ref="W15" si="3">SUM(W3:W14)</f>
        <v>8960</v>
      </c>
      <c r="X15" s="59">
        <f t="shared" ref="X15" si="4">SUM(X3:X14)</f>
        <v>7865</v>
      </c>
      <c r="Y15" s="59">
        <f t="shared" ref="Y15" si="5">SUM(Y3:Y14)</f>
        <v>0</v>
      </c>
      <c r="Z15" s="59">
        <f t="shared" ref="Z15" si="6">SUM(Z3:Z14)</f>
        <v>39426</v>
      </c>
      <c r="AA15" s="59">
        <f t="shared" ref="AA15" si="7">SUM(AA3:AA14)</f>
        <v>0</v>
      </c>
      <c r="AB15" s="59">
        <f t="shared" ref="AB15" si="8">SUM(AB3:AB14)</f>
        <v>0</v>
      </c>
      <c r="AC15" s="59">
        <f t="shared" ref="AC15" si="9">SUM(AC3:AC14)</f>
        <v>48480</v>
      </c>
      <c r="AD15" s="27">
        <f t="shared" si="0"/>
        <v>8397669</v>
      </c>
      <c r="AE15" s="59">
        <f t="shared" ref="AE15" si="10">SUM(AE3:AE14)</f>
        <v>156707</v>
      </c>
      <c r="AF15" s="59">
        <f t="shared" ref="AF15" si="11">SUM(AF3:AF14)</f>
        <v>7043</v>
      </c>
      <c r="AG15" s="59">
        <f t="shared" ref="AG15" si="12">SUM(AG3:AG14)</f>
        <v>11733</v>
      </c>
      <c r="AH15" s="59">
        <f t="shared" ref="AH15" si="13">SUM(AH3:AH14)</f>
        <v>135000</v>
      </c>
      <c r="AI15" s="59">
        <f t="shared" ref="AI15" si="14">SUM(AI3:AI14)</f>
        <v>277625</v>
      </c>
      <c r="AJ15" s="59">
        <f t="shared" ref="AJ15" si="15">SUM(AJ3:AJ14)</f>
        <v>94391</v>
      </c>
      <c r="AK15" s="59">
        <f t="shared" ref="AK15" si="16">SUM(AK3:AK14)</f>
        <v>45500</v>
      </c>
      <c r="AL15" s="59">
        <f t="shared" ref="AL15" si="17">SUM(AL3:AL14)</f>
        <v>0</v>
      </c>
      <c r="AM15" s="98">
        <f>SUM(AE15:AL15)</f>
        <v>727999</v>
      </c>
    </row>
    <row r="16" spans="1:40">
      <c r="A16" t="s">
        <v>212</v>
      </c>
      <c r="B16">
        <f>'FY15-16-Exp'!B15</f>
        <v>4038750</v>
      </c>
      <c r="C16">
        <f>'FY15-16-Exp'!C15</f>
        <v>372820</v>
      </c>
      <c r="D16">
        <f>'FY15-16-Exp'!D15</f>
        <v>430360</v>
      </c>
      <c r="E16">
        <f>'FY15-16-Exp'!E15</f>
        <v>302693</v>
      </c>
      <c r="F16">
        <f>'FY15-16-Exp'!F15</f>
        <v>455916</v>
      </c>
      <c r="G16">
        <f>'FY15-16-Exp'!G15</f>
        <v>113088</v>
      </c>
      <c r="H16">
        <f>'FY15-16-Exp'!H15</f>
        <v>210274</v>
      </c>
      <c r="I16">
        <f>'FY15-16-Exp'!I15</f>
        <v>1460</v>
      </c>
      <c r="J16">
        <f>'FY15-16-Exp'!J15</f>
        <v>43645</v>
      </c>
      <c r="K16">
        <f>'FY15-16-Exp'!K15</f>
        <v>109400</v>
      </c>
      <c r="L16">
        <f>'FY15-16-Exp'!L15</f>
        <v>17398</v>
      </c>
      <c r="M16">
        <f>'FY15-16-Exp'!M15</f>
        <v>39869</v>
      </c>
      <c r="N16">
        <f>'FY15-16-Exp'!N15</f>
        <v>9113</v>
      </c>
      <c r="O16">
        <f>'FY15-16-Exp'!O15</f>
        <v>4836</v>
      </c>
      <c r="P16">
        <f>'FY15-16-Exp'!P15</f>
        <v>2270</v>
      </c>
      <c r="Q16">
        <f>'FY15-16-Exp'!Q15</f>
        <v>10011</v>
      </c>
      <c r="R16">
        <f>'FY15-16-Exp'!R15</f>
        <v>0</v>
      </c>
      <c r="S16">
        <f>'FY15-16-Exp'!S15</f>
        <v>0</v>
      </c>
      <c r="T16">
        <f>'FY15-16-Exp'!T15</f>
        <v>30500</v>
      </c>
      <c r="U16">
        <f>'FY15-16-Exp'!U15</f>
        <v>2900</v>
      </c>
      <c r="W16">
        <f>'FY15-16-Exp'!W15</f>
        <v>0</v>
      </c>
    </row>
    <row r="17" spans="1:32" ht="15.75">
      <c r="A17" t="s">
        <v>168</v>
      </c>
      <c r="B17">
        <f>'FY13-14-Exp'!B15</f>
        <v>4372122</v>
      </c>
      <c r="C17">
        <f>'FY13-14-Exp'!C17</f>
        <v>404480</v>
      </c>
      <c r="D17">
        <f>'FY13-14-Exp'!D15</f>
        <v>313412</v>
      </c>
      <c r="E17">
        <f>'FY13-14-Exp'!E15</f>
        <v>255063</v>
      </c>
      <c r="F17">
        <f>'FY13-14-Exp'!F17</f>
        <v>262994</v>
      </c>
      <c r="G17">
        <f>'FY13-14-Exp'!G17</f>
        <v>141849</v>
      </c>
      <c r="H17">
        <f>'FY13-14-Exp'!H15</f>
        <v>133602</v>
      </c>
      <c r="Z17">
        <f>Z15/12</f>
        <v>3285.5</v>
      </c>
      <c r="AC17">
        <f>AC15/12</f>
        <v>4040</v>
      </c>
      <c r="AD17" s="97">
        <f>AD15-B15</f>
        <v>3801610</v>
      </c>
      <c r="AF17">
        <f>AD15/12</f>
        <v>699805.75</v>
      </c>
    </row>
    <row r="18" spans="1:32" ht="15.75">
      <c r="L18">
        <f>L15/12</f>
        <v>2265.5833333333335</v>
      </c>
      <c r="M18">
        <f>M15/12</f>
        <v>9954.5833333333339</v>
      </c>
      <c r="N18">
        <f>N15/12</f>
        <v>1899.25</v>
      </c>
      <c r="O18">
        <f>O15/12</f>
        <v>1512.9166666666667</v>
      </c>
      <c r="Q18">
        <f>Q15/12</f>
        <v>10385.416666666666</v>
      </c>
      <c r="U18">
        <f>U15/12</f>
        <v>12343.583333333334</v>
      </c>
      <c r="AD18" s="97"/>
    </row>
    <row r="19" spans="1:32" ht="15.75">
      <c r="C19">
        <f>C15/12</f>
        <v>45700</v>
      </c>
      <c r="D19">
        <f>D15/12</f>
        <v>41502.083333333336</v>
      </c>
      <c r="E19">
        <f>E7/12</f>
        <v>26780.666666666668</v>
      </c>
      <c r="F19">
        <f>F15/12</f>
        <v>105575</v>
      </c>
      <c r="G19">
        <f>G15/12</f>
        <v>6150</v>
      </c>
      <c r="H19">
        <f>H15/12</f>
        <v>28217.416666666668</v>
      </c>
      <c r="I19">
        <f>I15/12</f>
        <v>483.33333333333331</v>
      </c>
      <c r="AD19" s="97"/>
    </row>
    <row r="20" spans="1:32">
      <c r="O20" t="s">
        <v>162</v>
      </c>
      <c r="P20">
        <v>320000</v>
      </c>
      <c r="AC20" t="s">
        <v>208</v>
      </c>
      <c r="AD20">
        <f>AM15</f>
        <v>727999</v>
      </c>
      <c r="AF20">
        <f>AF17/140</f>
        <v>4998.6125000000002</v>
      </c>
    </row>
    <row r="21" spans="1:32">
      <c r="J21">
        <f>1300000/140</f>
        <v>9285.7142857142862</v>
      </c>
      <c r="O21" t="s">
        <v>199</v>
      </c>
      <c r="P21">
        <v>180000</v>
      </c>
      <c r="AD21" s="14">
        <f>SUM(AD17:AD20)</f>
        <v>4529609</v>
      </c>
    </row>
    <row r="22" spans="1:32">
      <c r="E22">
        <f>2300*140</f>
        <v>322000</v>
      </c>
      <c r="O22" t="s">
        <v>200</v>
      </c>
      <c r="P22">
        <v>25000</v>
      </c>
      <c r="AC22" t="s">
        <v>71</v>
      </c>
      <c r="AD22">
        <f>'FY16-17-Inc'!B15</f>
        <v>2871131</v>
      </c>
    </row>
    <row r="23" spans="1:32">
      <c r="A23" t="s">
        <v>53</v>
      </c>
      <c r="B23">
        <v>148123</v>
      </c>
      <c r="C23">
        <f>B23/12</f>
        <v>12343.583333333334</v>
      </c>
      <c r="J23">
        <f>J21/600</f>
        <v>15.476190476190476</v>
      </c>
      <c r="O23" t="s">
        <v>201</v>
      </c>
      <c r="P23">
        <v>160000</v>
      </c>
      <c r="AC23" t="s">
        <v>207</v>
      </c>
      <c r="AD23">
        <f>AD21-AD22</f>
        <v>1658478</v>
      </c>
    </row>
    <row r="24" spans="1:32">
      <c r="A24" t="s">
        <v>198</v>
      </c>
      <c r="B24">
        <v>60000</v>
      </c>
      <c r="C24" s="95">
        <v>60000</v>
      </c>
      <c r="O24" t="s">
        <v>202</v>
      </c>
      <c r="P24">
        <v>250000</v>
      </c>
    </row>
    <row r="25" spans="1:32">
      <c r="A25" t="s">
        <v>4</v>
      </c>
      <c r="B25">
        <f>C15</f>
        <v>548400</v>
      </c>
      <c r="C25" s="95">
        <f>B25/12</f>
        <v>45700</v>
      </c>
      <c r="O25" t="s">
        <v>203</v>
      </c>
      <c r="P25">
        <v>250000</v>
      </c>
    </row>
    <row r="26" spans="1:32">
      <c r="A26" t="s">
        <v>5</v>
      </c>
      <c r="B26">
        <f>D15</f>
        <v>498025</v>
      </c>
      <c r="C26" s="95">
        <f t="shared" ref="C26:C38" si="18">B26/12</f>
        <v>41502.083333333336</v>
      </c>
      <c r="O26" t="s">
        <v>206</v>
      </c>
      <c r="P26">
        <v>60000</v>
      </c>
    </row>
    <row r="27" spans="1:32">
      <c r="A27" t="s">
        <v>189</v>
      </c>
      <c r="B27">
        <f>E15</f>
        <v>321368</v>
      </c>
      <c r="C27" s="95">
        <f t="shared" si="18"/>
        <v>26780.666666666668</v>
      </c>
      <c r="P27" s="14">
        <f>SUM(P20:P26)</f>
        <v>1245000</v>
      </c>
    </row>
    <row r="28" spans="1:32">
      <c r="A28" t="s">
        <v>190</v>
      </c>
      <c r="B28">
        <v>150000</v>
      </c>
      <c r="C28" s="95">
        <f t="shared" si="18"/>
        <v>12500</v>
      </c>
      <c r="D28" t="s">
        <v>169</v>
      </c>
      <c r="G28">
        <v>156707</v>
      </c>
      <c r="I28" t="s">
        <v>163</v>
      </c>
      <c r="J28" t="s">
        <v>162</v>
      </c>
      <c r="K28">
        <v>290000</v>
      </c>
    </row>
    <row r="29" spans="1:32">
      <c r="A29" t="s">
        <v>191</v>
      </c>
      <c r="B29">
        <f>G15</f>
        <v>73800</v>
      </c>
      <c r="C29" s="95">
        <f t="shared" si="18"/>
        <v>6150</v>
      </c>
      <c r="E29" t="s">
        <v>182</v>
      </c>
      <c r="G29">
        <v>13000</v>
      </c>
      <c r="J29" t="s">
        <v>185</v>
      </c>
      <c r="K29">
        <v>35189</v>
      </c>
      <c r="O29">
        <f>P27/140</f>
        <v>8892.8571428571431</v>
      </c>
    </row>
    <row r="30" spans="1:32">
      <c r="A30" t="s">
        <v>192</v>
      </c>
      <c r="B30">
        <f>H15</f>
        <v>338609</v>
      </c>
      <c r="C30" s="95">
        <f t="shared" si="18"/>
        <v>28217.416666666668</v>
      </c>
      <c r="E30" t="s">
        <v>186</v>
      </c>
      <c r="G30">
        <v>31716</v>
      </c>
      <c r="J30" t="s">
        <v>187</v>
      </c>
      <c r="K30">
        <v>21036</v>
      </c>
      <c r="O30">
        <f>O29/12</f>
        <v>741.07142857142856</v>
      </c>
    </row>
    <row r="31" spans="1:32">
      <c r="A31" t="s">
        <v>128</v>
      </c>
      <c r="B31">
        <f>I15</f>
        <v>5800</v>
      </c>
      <c r="C31" s="95">
        <f t="shared" si="18"/>
        <v>483.33333333333331</v>
      </c>
      <c r="G31" s="14">
        <f>SUM(G28:G30)</f>
        <v>201423</v>
      </c>
      <c r="J31" t="s">
        <v>188</v>
      </c>
      <c r="K31">
        <v>6450</v>
      </c>
    </row>
    <row r="32" spans="1:32">
      <c r="A32" t="s">
        <v>57</v>
      </c>
      <c r="B32">
        <v>73800</v>
      </c>
      <c r="C32" s="95">
        <f t="shared" si="18"/>
        <v>6150</v>
      </c>
      <c r="K32" s="14">
        <f>SUM(K28:K31)</f>
        <v>352675</v>
      </c>
    </row>
    <row r="33" spans="1:17">
      <c r="A33" t="s">
        <v>193</v>
      </c>
      <c r="B33">
        <v>9000</v>
      </c>
      <c r="C33" s="95">
        <f t="shared" si="18"/>
        <v>750</v>
      </c>
      <c r="D33" t="s">
        <v>11</v>
      </c>
      <c r="G33" s="14">
        <v>135960</v>
      </c>
    </row>
    <row r="34" spans="1:17">
      <c r="A34" t="s">
        <v>194</v>
      </c>
      <c r="B34">
        <f t="shared" ref="B34:B38" si="19">C26</f>
        <v>41502.083333333336</v>
      </c>
      <c r="C34" s="95">
        <f t="shared" si="18"/>
        <v>3458.5069444444448</v>
      </c>
    </row>
    <row r="35" spans="1:17">
      <c r="A35" t="s">
        <v>195</v>
      </c>
      <c r="B35">
        <v>12000</v>
      </c>
      <c r="C35" s="95">
        <f t="shared" si="18"/>
        <v>1000</v>
      </c>
      <c r="D35" t="s">
        <v>170</v>
      </c>
      <c r="K35">
        <f>9000/12</f>
        <v>750</v>
      </c>
      <c r="O35" t="s">
        <v>204</v>
      </c>
      <c r="Q35">
        <v>10000</v>
      </c>
    </row>
    <row r="36" spans="1:17">
      <c r="A36" t="s">
        <v>196</v>
      </c>
      <c r="B36">
        <f t="shared" si="19"/>
        <v>12500</v>
      </c>
      <c r="C36" s="95">
        <f t="shared" si="18"/>
        <v>1041.6666666666667</v>
      </c>
      <c r="E36" t="s">
        <v>172</v>
      </c>
      <c r="G36">
        <v>22500</v>
      </c>
      <c r="O36" t="s">
        <v>205</v>
      </c>
      <c r="P36">
        <v>30</v>
      </c>
      <c r="Q36">
        <v>15000</v>
      </c>
    </row>
    <row r="37" spans="1:17">
      <c r="A37" t="s">
        <v>61</v>
      </c>
      <c r="B37">
        <f t="shared" si="19"/>
        <v>6150</v>
      </c>
      <c r="C37" s="95">
        <f t="shared" si="18"/>
        <v>512.5</v>
      </c>
      <c r="E37" t="s">
        <v>176</v>
      </c>
      <c r="G37">
        <f>7000+11000+2500+3250</f>
        <v>23750</v>
      </c>
      <c r="Q37">
        <f>SUM(Q35:Q36)</f>
        <v>25000</v>
      </c>
    </row>
    <row r="38" spans="1:17">
      <c r="A38" t="s">
        <v>197</v>
      </c>
      <c r="B38">
        <f t="shared" si="19"/>
        <v>28217.416666666668</v>
      </c>
      <c r="C38" s="95">
        <f t="shared" si="18"/>
        <v>2351.4513888888891</v>
      </c>
      <c r="E38" t="s">
        <v>174</v>
      </c>
      <c r="G38">
        <v>8816</v>
      </c>
      <c r="P38">
        <f>Q37/140</f>
        <v>178.57142857142858</v>
      </c>
    </row>
    <row r="39" spans="1:17">
      <c r="A39" t="s">
        <v>214</v>
      </c>
      <c r="B39">
        <v>18077</v>
      </c>
      <c r="C39" s="95">
        <f>B39/12</f>
        <v>1506.4166666666667</v>
      </c>
    </row>
    <row r="40" spans="1:17">
      <c r="A40" t="s">
        <v>215</v>
      </c>
      <c r="B40">
        <v>1300</v>
      </c>
      <c r="C40" s="95">
        <f>B40/12</f>
        <v>108.33333333333333</v>
      </c>
    </row>
    <row r="41" spans="1:17">
      <c r="A41" t="s">
        <v>11</v>
      </c>
      <c r="B41">
        <v>40000</v>
      </c>
      <c r="C41" s="95">
        <f>B41/12</f>
        <v>3333.3333333333335</v>
      </c>
    </row>
    <row r="42" spans="1:17">
      <c r="A42" t="s">
        <v>216</v>
      </c>
      <c r="B42">
        <v>12000</v>
      </c>
      <c r="C42" s="95">
        <f>B42/12</f>
        <v>1000</v>
      </c>
    </row>
    <row r="43" spans="1:17">
      <c r="A43" t="s">
        <v>217</v>
      </c>
      <c r="B43">
        <v>45000</v>
      </c>
      <c r="C43" s="95">
        <f>B43/12</f>
        <v>3750</v>
      </c>
    </row>
    <row r="44" spans="1:17">
      <c r="C44" s="95"/>
    </row>
    <row r="45" spans="1:17">
      <c r="B45" s="14">
        <f>SUM(B24:B40)</f>
        <v>2198548.5</v>
      </c>
      <c r="C45" s="96">
        <f>SUM(C22:C43)</f>
        <v>258639.29166666663</v>
      </c>
      <c r="E45" t="s">
        <v>173</v>
      </c>
      <c r="G45">
        <v>15000</v>
      </c>
    </row>
    <row r="46" spans="1:17">
      <c r="C46" s="95">
        <f>C45/140</f>
        <v>1847.4235119047617</v>
      </c>
      <c r="E46" t="s">
        <v>175</v>
      </c>
      <c r="G46">
        <v>10000</v>
      </c>
    </row>
    <row r="47" spans="1:17">
      <c r="C47">
        <f>C45*1.1</f>
        <v>284503.22083333333</v>
      </c>
      <c r="E47" t="s">
        <v>177</v>
      </c>
      <c r="G47">
        <v>11000</v>
      </c>
    </row>
    <row r="48" spans="1:17">
      <c r="C48">
        <f>C47/140</f>
        <v>2032.1658630952381</v>
      </c>
      <c r="E48" t="s">
        <v>178</v>
      </c>
      <c r="G48">
        <f>4000+5500+10000</f>
        <v>19500</v>
      </c>
    </row>
    <row r="49" spans="4:10">
      <c r="E49" t="s">
        <v>181</v>
      </c>
      <c r="G49">
        <v>15000</v>
      </c>
    </row>
    <row r="50" spans="4:10">
      <c r="E50" t="s">
        <v>181</v>
      </c>
      <c r="G50">
        <v>19500</v>
      </c>
    </row>
    <row r="51" spans="4:10">
      <c r="E51" t="s">
        <v>179</v>
      </c>
      <c r="G51">
        <v>8310</v>
      </c>
    </row>
    <row r="52" spans="4:10">
      <c r="E52" t="s">
        <v>180</v>
      </c>
      <c r="G52">
        <v>10000</v>
      </c>
    </row>
    <row r="53" spans="4:10">
      <c r="E53" t="s">
        <v>183</v>
      </c>
      <c r="G53">
        <v>20000</v>
      </c>
    </row>
    <row r="54" spans="4:10">
      <c r="E54" t="s">
        <v>184</v>
      </c>
      <c r="G54">
        <v>23000</v>
      </c>
    </row>
    <row r="55" spans="4:10">
      <c r="G55" s="14">
        <f>SUM(G36:G54)</f>
        <v>206376</v>
      </c>
    </row>
    <row r="56" spans="4:10">
      <c r="G56" s="14"/>
    </row>
    <row r="57" spans="4:10">
      <c r="D57" t="s">
        <v>171</v>
      </c>
      <c r="G57" s="14">
        <v>124625</v>
      </c>
    </row>
    <row r="59" spans="4:10">
      <c r="F59" t="s">
        <v>20</v>
      </c>
      <c r="G59" s="14">
        <f>G31+G33+G55+G57</f>
        <v>668384</v>
      </c>
      <c r="J59" s="14">
        <f>K32</f>
        <v>352675</v>
      </c>
    </row>
    <row r="61" spans="4:10">
      <c r="G61" s="14">
        <f>G59+J59</f>
        <v>1021059</v>
      </c>
    </row>
    <row r="72" spans="11:11">
      <c r="K72" t="s">
        <v>209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topLeftCell="H1" workbookViewId="0">
      <selection activeCell="U24" sqref="U24"/>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7"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7" ht="15.75" thickBot="1">
      <c r="A2" s="47"/>
      <c r="B2" s="38" t="s">
        <v>71</v>
      </c>
      <c r="C2" s="38" t="s">
        <v>72</v>
      </c>
      <c r="D2" s="38" t="s">
        <v>152</v>
      </c>
      <c r="E2" s="38" t="s">
        <v>78</v>
      </c>
      <c r="F2" s="38" t="s">
        <v>76</v>
      </c>
      <c r="G2" s="38" t="s">
        <v>79</v>
      </c>
      <c r="H2" s="38" t="s">
        <v>153</v>
      </c>
      <c r="I2" s="38" t="s">
        <v>80</v>
      </c>
      <c r="J2" s="38" t="s">
        <v>154</v>
      </c>
      <c r="K2" s="38" t="s">
        <v>155</v>
      </c>
      <c r="L2" s="38" t="s">
        <v>59</v>
      </c>
      <c r="M2" s="25" t="s">
        <v>156</v>
      </c>
      <c r="N2" s="31" t="s">
        <v>20</v>
      </c>
      <c r="O2" s="49" t="s">
        <v>74</v>
      </c>
      <c r="P2" s="38" t="s">
        <v>75</v>
      </c>
      <c r="Q2" s="73" t="s">
        <v>127</v>
      </c>
      <c r="R2" s="50" t="s">
        <v>73</v>
      </c>
      <c r="S2" s="25" t="s">
        <v>20</v>
      </c>
      <c r="T2" s="55" t="s">
        <v>77</v>
      </c>
      <c r="U2" s="11" t="s">
        <v>78</v>
      </c>
      <c r="V2" s="29" t="s">
        <v>20</v>
      </c>
      <c r="W2" s="52" t="s">
        <v>81</v>
      </c>
    </row>
    <row r="3" spans="1:27" ht="15.75">
      <c r="A3" s="19" t="s">
        <v>36</v>
      </c>
      <c r="B3" s="20">
        <v>39100</v>
      </c>
      <c r="C3" s="20">
        <v>139836</v>
      </c>
      <c r="D3" s="20"/>
      <c r="E3" s="20">
        <v>1000</v>
      </c>
      <c r="F3" s="20">
        <v>3000</v>
      </c>
      <c r="G3" s="20">
        <v>1700</v>
      </c>
      <c r="H3" s="20">
        <v>684</v>
      </c>
      <c r="I3" s="20"/>
      <c r="J3" s="20"/>
      <c r="K3" s="3"/>
      <c r="L3" s="3">
        <v>3500</v>
      </c>
      <c r="M3" s="3"/>
      <c r="N3" s="43">
        <f t="shared" ref="N3:N14" si="0">SUM(B3:J3)</f>
        <v>185320</v>
      </c>
      <c r="O3" s="19"/>
      <c r="P3" s="20">
        <v>12000</v>
      </c>
      <c r="Q3" s="20">
        <v>1500</v>
      </c>
      <c r="R3" s="20">
        <v>3500</v>
      </c>
      <c r="S3" s="43">
        <f>SUM(O3:R3)</f>
        <v>17000</v>
      </c>
      <c r="T3" s="21">
        <v>50000</v>
      </c>
      <c r="U3" s="9">
        <v>0</v>
      </c>
      <c r="V3" s="58">
        <f>SUM(T3:U3)</f>
        <v>50000</v>
      </c>
      <c r="W3" s="53">
        <f>N3+S3+V3</f>
        <v>252320</v>
      </c>
      <c r="X3" s="14"/>
      <c r="Z3">
        <v>1610</v>
      </c>
    </row>
    <row r="4" spans="1:27" ht="15.75">
      <c r="A4" s="21" t="s">
        <v>37</v>
      </c>
      <c r="B4" s="3">
        <v>1602300</v>
      </c>
      <c r="C4" s="3">
        <v>232620</v>
      </c>
      <c r="D4" s="3"/>
      <c r="E4" s="3"/>
      <c r="F4" s="3">
        <v>3500</v>
      </c>
      <c r="G4" s="3">
        <v>2400</v>
      </c>
      <c r="H4" s="3">
        <v>456</v>
      </c>
      <c r="I4" s="3"/>
      <c r="J4" s="3"/>
      <c r="K4" s="3"/>
      <c r="L4" s="3">
        <v>4060</v>
      </c>
      <c r="M4" s="3"/>
      <c r="N4" s="41">
        <f t="shared" si="0"/>
        <v>1841276</v>
      </c>
      <c r="O4" s="21"/>
      <c r="P4" s="3">
        <v>8000</v>
      </c>
      <c r="Q4" s="3"/>
      <c r="R4" s="3">
        <v>252000</v>
      </c>
      <c r="S4" s="40">
        <f t="shared" ref="S4:S14" si="1">SUM(O4:R4)</f>
        <v>260000</v>
      </c>
      <c r="T4" s="21"/>
      <c r="U4" s="9"/>
      <c r="V4" s="30"/>
      <c r="W4" s="53">
        <f t="shared" ref="W4:W15" si="2">N4+S4+V4</f>
        <v>2101276</v>
      </c>
    </row>
    <row r="5" spans="1:27" ht="15.75">
      <c r="A5" s="21" t="s">
        <v>56</v>
      </c>
      <c r="B5" s="3">
        <v>202552</v>
      </c>
      <c r="C5" s="3">
        <v>511874</v>
      </c>
      <c r="D5" s="3"/>
      <c r="E5" s="3">
        <v>3000</v>
      </c>
      <c r="F5" s="3">
        <v>4500</v>
      </c>
      <c r="G5" s="3">
        <v>2650</v>
      </c>
      <c r="H5" s="3">
        <v>228</v>
      </c>
      <c r="I5" s="3"/>
      <c r="J5" s="3"/>
      <c r="K5" s="3"/>
      <c r="L5" s="3">
        <v>3535</v>
      </c>
      <c r="M5" s="3"/>
      <c r="N5" s="41">
        <f t="shared" si="0"/>
        <v>724804</v>
      </c>
      <c r="O5" s="21"/>
      <c r="P5" s="3">
        <v>12000</v>
      </c>
      <c r="Q5" s="3"/>
      <c r="R5" s="3">
        <v>38500</v>
      </c>
      <c r="S5" s="40">
        <f t="shared" si="1"/>
        <v>50500</v>
      </c>
      <c r="T5" s="21"/>
      <c r="U5" s="9"/>
      <c r="V5" s="30"/>
      <c r="W5" s="53">
        <f t="shared" si="2"/>
        <v>775304</v>
      </c>
    </row>
    <row r="6" spans="1:27" ht="15.75">
      <c r="A6" s="21" t="s">
        <v>39</v>
      </c>
      <c r="B6" s="3">
        <v>131250</v>
      </c>
      <c r="C6" s="3">
        <v>586986</v>
      </c>
      <c r="D6" s="3"/>
      <c r="E6" s="3">
        <v>5000</v>
      </c>
      <c r="F6" s="3">
        <v>1500</v>
      </c>
      <c r="G6" s="3">
        <v>2150</v>
      </c>
      <c r="H6" s="3"/>
      <c r="I6" s="3"/>
      <c r="J6" s="3"/>
      <c r="K6" s="3"/>
      <c r="L6" s="3">
        <v>3850</v>
      </c>
      <c r="M6" s="3"/>
      <c r="N6" s="41">
        <f t="shared" si="0"/>
        <v>726886</v>
      </c>
      <c r="O6" s="21"/>
      <c r="P6" s="3">
        <v>4000</v>
      </c>
      <c r="Q6" s="3">
        <v>3000</v>
      </c>
      <c r="R6" s="3">
        <v>10500</v>
      </c>
      <c r="S6" s="40">
        <f t="shared" si="1"/>
        <v>17500</v>
      </c>
      <c r="T6" s="21"/>
      <c r="U6" s="9"/>
      <c r="V6" s="30"/>
      <c r="W6" s="53">
        <f t="shared" si="2"/>
        <v>744386</v>
      </c>
    </row>
    <row r="7" spans="1:27" ht="15.75">
      <c r="A7" s="21" t="s">
        <v>40</v>
      </c>
      <c r="B7" s="3">
        <v>142950</v>
      </c>
      <c r="C7" s="3">
        <v>461468</v>
      </c>
      <c r="D7" s="3"/>
      <c r="E7" s="3">
        <v>15200</v>
      </c>
      <c r="F7" s="3">
        <v>3000</v>
      </c>
      <c r="G7" s="3">
        <v>2750</v>
      </c>
      <c r="H7" s="3">
        <v>456</v>
      </c>
      <c r="I7" s="3"/>
      <c r="J7" s="3"/>
      <c r="K7" s="3"/>
      <c r="L7" s="3">
        <v>3885</v>
      </c>
      <c r="M7" s="3"/>
      <c r="N7" s="41">
        <f t="shared" si="0"/>
        <v>625824</v>
      </c>
      <c r="O7" s="21"/>
      <c r="P7" s="3">
        <v>4000</v>
      </c>
      <c r="Q7" s="3"/>
      <c r="R7" s="3">
        <v>35200</v>
      </c>
      <c r="S7" s="40">
        <f t="shared" si="1"/>
        <v>39200</v>
      </c>
      <c r="T7" s="21"/>
      <c r="U7" s="9"/>
      <c r="V7" s="30"/>
      <c r="W7" s="53">
        <f t="shared" si="2"/>
        <v>665024</v>
      </c>
    </row>
    <row r="8" spans="1:27" ht="15.75">
      <c r="A8" s="21" t="s">
        <v>42</v>
      </c>
      <c r="B8" s="3">
        <v>99400</v>
      </c>
      <c r="C8" s="3">
        <v>239795</v>
      </c>
      <c r="D8" s="3"/>
      <c r="E8" s="3"/>
      <c r="F8" s="3">
        <v>1500</v>
      </c>
      <c r="G8" s="3">
        <v>1500</v>
      </c>
      <c r="H8" s="3">
        <v>228</v>
      </c>
      <c r="I8" s="3"/>
      <c r="J8" s="3">
        <v>2001</v>
      </c>
      <c r="K8" s="3"/>
      <c r="L8" s="3">
        <v>2380</v>
      </c>
      <c r="M8" s="3">
        <v>40600</v>
      </c>
      <c r="N8" s="41">
        <f t="shared" si="0"/>
        <v>344424</v>
      </c>
      <c r="O8" s="21"/>
      <c r="P8" s="3">
        <v>4000</v>
      </c>
      <c r="Q8" s="3"/>
      <c r="R8" s="3">
        <v>10500</v>
      </c>
      <c r="S8" s="40">
        <f t="shared" si="1"/>
        <v>14500</v>
      </c>
      <c r="T8" s="21"/>
      <c r="U8" s="9"/>
      <c r="V8" s="30"/>
      <c r="W8" s="53">
        <f t="shared" si="2"/>
        <v>358924</v>
      </c>
    </row>
    <row r="9" spans="1:27" ht="15.75">
      <c r="A9" s="21" t="s">
        <v>43</v>
      </c>
      <c r="B9" s="3">
        <v>122750</v>
      </c>
      <c r="C9" s="3">
        <v>523135</v>
      </c>
      <c r="D9" s="3"/>
      <c r="E9" s="3"/>
      <c r="F9" s="3">
        <v>1500</v>
      </c>
      <c r="G9" s="3"/>
      <c r="H9" s="3"/>
      <c r="I9" s="3"/>
      <c r="J9" s="3"/>
      <c r="K9" s="3"/>
      <c r="L9" s="3">
        <v>4550</v>
      </c>
      <c r="M9" s="3">
        <v>78800</v>
      </c>
      <c r="N9" s="41">
        <f t="shared" si="0"/>
        <v>647385</v>
      </c>
      <c r="O9" s="21"/>
      <c r="P9" s="3">
        <v>4000</v>
      </c>
      <c r="Q9" s="3"/>
      <c r="R9" s="3"/>
      <c r="S9" s="40">
        <f t="shared" si="1"/>
        <v>4000</v>
      </c>
      <c r="T9" s="21"/>
      <c r="U9" s="9"/>
      <c r="V9" s="30"/>
      <c r="W9" s="53">
        <f t="shared" si="2"/>
        <v>651385</v>
      </c>
      <c r="Z9">
        <v>10336</v>
      </c>
      <c r="AA9" t="s">
        <v>157</v>
      </c>
    </row>
    <row r="10" spans="1:27" ht="15.75">
      <c r="A10" s="21" t="s">
        <v>44</v>
      </c>
      <c r="B10" s="3">
        <v>111500</v>
      </c>
      <c r="C10" s="3">
        <v>381805</v>
      </c>
      <c r="D10" s="3"/>
      <c r="E10" s="3">
        <v>3000</v>
      </c>
      <c r="F10" s="3"/>
      <c r="G10" s="3">
        <v>1900</v>
      </c>
      <c r="H10" s="3"/>
      <c r="I10" s="3"/>
      <c r="J10" s="3"/>
      <c r="K10" s="3"/>
      <c r="L10" s="3">
        <v>4270</v>
      </c>
      <c r="M10" s="3">
        <v>73600</v>
      </c>
      <c r="N10" s="41">
        <f t="shared" si="0"/>
        <v>498205</v>
      </c>
      <c r="O10" s="21"/>
      <c r="P10" s="3"/>
      <c r="Q10" s="3"/>
      <c r="R10" s="3"/>
      <c r="S10" s="40">
        <f t="shared" si="1"/>
        <v>0</v>
      </c>
      <c r="T10" s="21"/>
      <c r="U10" s="9"/>
      <c r="V10" s="30"/>
      <c r="W10" s="53">
        <f t="shared" si="2"/>
        <v>498205</v>
      </c>
    </row>
    <row r="11" spans="1:27" ht="15.75">
      <c r="A11" s="21" t="s">
        <v>45</v>
      </c>
      <c r="B11" s="3">
        <v>121500</v>
      </c>
      <c r="C11" s="3">
        <v>223767</v>
      </c>
      <c r="D11" s="3"/>
      <c r="E11" s="3">
        <v>4500</v>
      </c>
      <c r="F11" s="3"/>
      <c r="G11" s="3">
        <v>1100</v>
      </c>
      <c r="H11" s="3"/>
      <c r="I11" s="3"/>
      <c r="J11" s="3"/>
      <c r="K11" s="3"/>
      <c r="L11" s="3">
        <v>3540</v>
      </c>
      <c r="M11" s="3">
        <v>63400</v>
      </c>
      <c r="N11" s="41">
        <f t="shared" si="0"/>
        <v>350867</v>
      </c>
      <c r="O11" s="21"/>
      <c r="P11" s="3"/>
      <c r="Q11" s="3"/>
      <c r="R11" s="3">
        <v>7000</v>
      </c>
      <c r="S11" s="40">
        <f t="shared" si="1"/>
        <v>7000</v>
      </c>
      <c r="T11" s="21"/>
      <c r="U11" s="9"/>
      <c r="V11" s="30"/>
      <c r="W11" s="53">
        <f t="shared" si="2"/>
        <v>357867</v>
      </c>
      <c r="Z11">
        <v>43330</v>
      </c>
      <c r="AA11" t="s">
        <v>158</v>
      </c>
    </row>
    <row r="12" spans="1:27" ht="15.75">
      <c r="A12" s="21" t="s">
        <v>47</v>
      </c>
      <c r="B12" s="3">
        <v>95050</v>
      </c>
      <c r="C12" s="3">
        <v>241366</v>
      </c>
      <c r="D12" s="3"/>
      <c r="E12" s="3">
        <v>2000</v>
      </c>
      <c r="F12" s="3"/>
      <c r="G12" s="3">
        <v>2300</v>
      </c>
      <c r="H12" s="3"/>
      <c r="I12" s="3"/>
      <c r="J12" s="3"/>
      <c r="K12" s="3"/>
      <c r="L12" s="3">
        <v>3955</v>
      </c>
      <c r="M12" s="3">
        <v>68200</v>
      </c>
      <c r="N12" s="41">
        <f t="shared" si="0"/>
        <v>340716</v>
      </c>
      <c r="O12" s="21"/>
      <c r="P12" s="3"/>
      <c r="Q12" s="3"/>
      <c r="R12" s="3">
        <v>7000</v>
      </c>
      <c r="S12" s="40">
        <f t="shared" si="1"/>
        <v>7000</v>
      </c>
      <c r="T12" s="21"/>
      <c r="U12" s="9"/>
      <c r="V12" s="30"/>
      <c r="W12" s="53">
        <f t="shared" si="2"/>
        <v>347716</v>
      </c>
    </row>
    <row r="13" spans="1:27" ht="15.75">
      <c r="A13" s="21" t="s">
        <v>50</v>
      </c>
      <c r="B13" s="3">
        <v>123950</v>
      </c>
      <c r="C13" s="3">
        <v>291176</v>
      </c>
      <c r="D13" s="3"/>
      <c r="E13" s="3"/>
      <c r="F13" s="3">
        <v>1500</v>
      </c>
      <c r="G13" s="3">
        <v>2000</v>
      </c>
      <c r="H13" s="3">
        <v>456</v>
      </c>
      <c r="I13" s="3"/>
      <c r="J13" s="3"/>
      <c r="K13" s="3"/>
      <c r="L13" s="3">
        <v>3710</v>
      </c>
      <c r="M13" s="3">
        <v>63400</v>
      </c>
      <c r="N13" s="41">
        <f t="shared" si="0"/>
        <v>419082</v>
      </c>
      <c r="O13" s="21"/>
      <c r="P13" s="3"/>
      <c r="Q13" s="3">
        <v>4000</v>
      </c>
      <c r="R13" s="3">
        <v>10500</v>
      </c>
      <c r="S13" s="40">
        <f t="shared" si="1"/>
        <v>14500</v>
      </c>
      <c r="T13" s="21"/>
      <c r="U13" s="9"/>
      <c r="V13" s="30"/>
      <c r="W13" s="53">
        <f t="shared" si="2"/>
        <v>433582</v>
      </c>
    </row>
    <row r="14" spans="1:27" ht="16.5" thickBot="1">
      <c r="A14" s="22" t="s">
        <v>51</v>
      </c>
      <c r="B14" s="23">
        <v>78829</v>
      </c>
      <c r="C14" s="23">
        <v>208538</v>
      </c>
      <c r="D14" s="23"/>
      <c r="E14" s="23"/>
      <c r="F14" s="23"/>
      <c r="G14" s="23">
        <v>1650</v>
      </c>
      <c r="H14" s="23">
        <v>684</v>
      </c>
      <c r="I14" s="23"/>
      <c r="J14" s="23"/>
      <c r="K14" s="3"/>
      <c r="L14" s="3">
        <v>3920</v>
      </c>
      <c r="M14" s="3">
        <v>68200</v>
      </c>
      <c r="N14" s="44">
        <f t="shared" si="0"/>
        <v>289701</v>
      </c>
      <c r="O14" s="21"/>
      <c r="P14" s="3"/>
      <c r="Q14" s="3">
        <v>6000</v>
      </c>
      <c r="R14" s="3">
        <v>3500</v>
      </c>
      <c r="S14" s="25">
        <f t="shared" si="1"/>
        <v>9500</v>
      </c>
      <c r="T14" s="21"/>
      <c r="U14" s="9">
        <v>0</v>
      </c>
      <c r="V14" s="30">
        <f t="shared" ref="V14" si="3">SUM(T14:U14)</f>
        <v>0</v>
      </c>
      <c r="W14" s="53">
        <f t="shared" si="2"/>
        <v>299201</v>
      </c>
    </row>
    <row r="15" spans="1:27" ht="16.5" thickBot="1">
      <c r="A15" s="42" t="s">
        <v>20</v>
      </c>
      <c r="B15" s="32">
        <f>SUM(B3:B14)</f>
        <v>2871131</v>
      </c>
      <c r="C15" s="32">
        <f t="shared" ref="C15:S15" si="4">SUM(C3:C14)</f>
        <v>4042366</v>
      </c>
      <c r="D15" s="32">
        <f t="shared" si="4"/>
        <v>0</v>
      </c>
      <c r="E15" s="32">
        <f t="shared" si="4"/>
        <v>33700</v>
      </c>
      <c r="F15" s="32">
        <f t="shared" si="4"/>
        <v>20000</v>
      </c>
      <c r="G15" s="32">
        <f t="shared" si="4"/>
        <v>22100</v>
      </c>
      <c r="H15" s="32">
        <f t="shared" si="4"/>
        <v>3192</v>
      </c>
      <c r="I15" s="32">
        <f t="shared" si="4"/>
        <v>0</v>
      </c>
      <c r="J15" s="32">
        <f t="shared" si="4"/>
        <v>2001</v>
      </c>
      <c r="K15" s="32">
        <f t="shared" si="4"/>
        <v>0</v>
      </c>
      <c r="L15" s="32">
        <f t="shared" si="4"/>
        <v>45155</v>
      </c>
      <c r="M15" s="32">
        <f t="shared" si="4"/>
        <v>456200</v>
      </c>
      <c r="N15" s="32">
        <f t="shared" si="4"/>
        <v>6994490</v>
      </c>
      <c r="O15" s="32">
        <f t="shared" si="4"/>
        <v>0</v>
      </c>
      <c r="P15" s="32">
        <f t="shared" si="4"/>
        <v>48000</v>
      </c>
      <c r="Q15" s="32">
        <f t="shared" si="4"/>
        <v>14500</v>
      </c>
      <c r="R15" s="32">
        <f t="shared" si="4"/>
        <v>378200</v>
      </c>
      <c r="S15" s="32">
        <f t="shared" si="4"/>
        <v>440700</v>
      </c>
      <c r="T15" s="56">
        <f>SUM(T3:T14)</f>
        <v>50000</v>
      </c>
      <c r="U15" s="57">
        <f>SUM(U3:U14)</f>
        <v>0</v>
      </c>
      <c r="V15" s="39">
        <f>SUM(T15:U15)</f>
        <v>50000</v>
      </c>
      <c r="W15" s="53">
        <f t="shared" si="2"/>
        <v>7485190</v>
      </c>
    </row>
    <row r="18" spans="2:8">
      <c r="B18">
        <f>1900*12</f>
        <v>22800</v>
      </c>
      <c r="C18">
        <f>21800</f>
        <v>21800</v>
      </c>
      <c r="D18">
        <f>80</f>
        <v>80</v>
      </c>
      <c r="F18">
        <f>C18*D18</f>
        <v>1744000</v>
      </c>
    </row>
    <row r="19" spans="2:8">
      <c r="B19">
        <v>22800</v>
      </c>
      <c r="D19">
        <v>60</v>
      </c>
      <c r="F19">
        <f>B19*D19</f>
        <v>1368000</v>
      </c>
    </row>
    <row r="20" spans="2:8">
      <c r="F20" s="14">
        <f>SUM(F18:F19)</f>
        <v>3112000</v>
      </c>
      <c r="H20" s="14">
        <f>F20-B15</f>
        <v>240869</v>
      </c>
    </row>
    <row r="22" spans="2:8">
      <c r="B22">
        <f>2300*12</f>
        <v>27600</v>
      </c>
      <c r="C22">
        <f>26500</f>
        <v>26500</v>
      </c>
      <c r="D22">
        <v>80</v>
      </c>
      <c r="F22">
        <f>C22*D22</f>
        <v>2120000</v>
      </c>
    </row>
    <row r="23" spans="2:8">
      <c r="B23">
        <v>27600</v>
      </c>
      <c r="D23">
        <v>60</v>
      </c>
      <c r="F23">
        <f>B23*D23</f>
        <v>1656000</v>
      </c>
    </row>
    <row r="24" spans="2:8">
      <c r="F24" s="14">
        <f>SUM(F22:F23)</f>
        <v>3776000</v>
      </c>
    </row>
    <row r="27" spans="2:8">
      <c r="D27">
        <f>600*140</f>
        <v>84000</v>
      </c>
      <c r="F27">
        <f>1300000</f>
        <v>1300000</v>
      </c>
      <c r="H27">
        <f>F27/D27</f>
        <v>15.476190476190476</v>
      </c>
    </row>
    <row r="28" spans="2:8">
      <c r="F28">
        <f>F27/140</f>
        <v>9285.7142857142862</v>
      </c>
    </row>
  </sheetData>
  <mergeCells count="4">
    <mergeCell ref="A1:C1"/>
    <mergeCell ref="D1:L1"/>
    <mergeCell ref="O1:S1"/>
    <mergeCell ref="T1:V1"/>
  </mergeCells>
  <pageMargins left="0.7" right="0.7" top="0.75" bottom="0.75" header="0.3" footer="0.3"/>
  <pageSetup paperSize="9" scale="70" fitToHeight="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27"/>
  <sheetViews>
    <sheetView workbookViewId="0">
      <pane ySplit="1" topLeftCell="A2" activePane="bottomLeft" state="frozen"/>
      <selection pane="bottomLeft" activeCell="C20" sqref="C20"/>
    </sheetView>
  </sheetViews>
  <sheetFormatPr defaultRowHeight="15"/>
  <cols>
    <col min="1" max="1" width="11.85546875" customWidth="1"/>
    <col min="2" max="2" width="13.28515625" bestFit="1" customWidth="1"/>
    <col min="3" max="3" width="13.42578125" bestFit="1" customWidth="1"/>
    <col min="4" max="7" width="11.5703125" bestFit="1" customWidth="1"/>
    <col min="8" max="8" width="12.42578125" customWidth="1"/>
    <col min="10" max="10" width="10.28515625" customWidth="1"/>
    <col min="13" max="14" width="10.5703125" bestFit="1" customWidth="1"/>
    <col min="15" max="15" width="13.85546875" customWidth="1"/>
    <col min="16" max="16" width="9.7109375" bestFit="1" customWidth="1"/>
    <col min="17" max="17" width="11.85546875" bestFit="1" customWidth="1"/>
    <col min="18" max="18" width="10.28515625" bestFit="1" customWidth="1"/>
    <col min="21" max="21" width="12" bestFit="1" customWidth="1"/>
    <col min="22" max="22" width="7" customWidth="1"/>
    <col min="25" max="25" width="12.28515625" bestFit="1" customWidth="1"/>
    <col min="28" max="29" width="7.5703125" customWidth="1"/>
    <col min="30" max="30" width="12.28515625" bestFit="1" customWidth="1"/>
    <col min="31" max="37" width="12.28515625" customWidth="1"/>
    <col min="38" max="38" width="19.85546875" bestFit="1" customWidth="1"/>
  </cols>
  <sheetData>
    <row r="1" spans="1:39"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91" t="s">
        <v>159</v>
      </c>
      <c r="AF1" s="91" t="s">
        <v>160</v>
      </c>
      <c r="AG1" s="91" t="s">
        <v>164</v>
      </c>
      <c r="AH1" s="91" t="s">
        <v>161</v>
      </c>
      <c r="AI1" s="91" t="s">
        <v>162</v>
      </c>
      <c r="AJ1" s="91" t="s">
        <v>163</v>
      </c>
      <c r="AK1" s="91" t="s">
        <v>165</v>
      </c>
      <c r="AL1" s="18" t="s">
        <v>62</v>
      </c>
    </row>
    <row r="2" spans="1:39"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91"/>
      <c r="AF2" s="91"/>
      <c r="AG2" s="91"/>
      <c r="AH2" s="91"/>
      <c r="AI2" s="91"/>
      <c r="AJ2" s="91"/>
      <c r="AK2" s="91"/>
      <c r="AL2" s="18"/>
    </row>
    <row r="3" spans="1:39" ht="16.5" thickBot="1">
      <c r="A3" s="19" t="s">
        <v>36</v>
      </c>
      <c r="B3" s="3">
        <v>1500</v>
      </c>
      <c r="C3" s="20">
        <v>31200</v>
      </c>
      <c r="D3" s="20">
        <v>28612</v>
      </c>
      <c r="E3" s="20">
        <v>0</v>
      </c>
      <c r="F3" s="20">
        <v>90000</v>
      </c>
      <c r="G3" s="20">
        <v>5550</v>
      </c>
      <c r="H3" s="20">
        <v>8485</v>
      </c>
      <c r="I3" s="20">
        <v>0</v>
      </c>
      <c r="J3" s="20">
        <v>4000</v>
      </c>
      <c r="K3" s="20">
        <v>0</v>
      </c>
      <c r="L3" s="20">
        <v>14800</v>
      </c>
      <c r="M3" s="20">
        <v>1085</v>
      </c>
      <c r="N3" s="20">
        <v>1735</v>
      </c>
      <c r="O3" s="20">
        <v>733</v>
      </c>
      <c r="P3" s="20">
        <v>0</v>
      </c>
      <c r="Q3" s="20">
        <v>0</v>
      </c>
      <c r="R3" s="20">
        <v>0</v>
      </c>
      <c r="S3" s="20">
        <v>0</v>
      </c>
      <c r="T3" s="20">
        <v>0</v>
      </c>
      <c r="U3" s="20">
        <v>0</v>
      </c>
      <c r="V3" s="20">
        <v>0</v>
      </c>
      <c r="W3" s="20">
        <v>0</v>
      </c>
      <c r="X3" s="20">
        <v>0</v>
      </c>
      <c r="Y3" s="20">
        <v>0</v>
      </c>
      <c r="Z3" s="20">
        <v>608</v>
      </c>
      <c r="AA3" s="20">
        <v>2000</v>
      </c>
      <c r="AB3" s="20">
        <v>1274</v>
      </c>
      <c r="AC3" s="68">
        <v>0</v>
      </c>
      <c r="AD3" s="27">
        <f>SUM(B3:AC3)</f>
        <v>191582</v>
      </c>
      <c r="AE3" s="92">
        <v>0</v>
      </c>
      <c r="AF3" s="92">
        <v>0</v>
      </c>
      <c r="AG3" s="92">
        <v>0</v>
      </c>
      <c r="AH3" s="92">
        <v>0</v>
      </c>
      <c r="AI3" s="92">
        <v>0</v>
      </c>
      <c r="AJ3" s="92">
        <v>0</v>
      </c>
      <c r="AK3" s="92">
        <v>0</v>
      </c>
      <c r="AL3" s="20">
        <v>9300</v>
      </c>
    </row>
    <row r="4" spans="1:39" ht="16.5" thickBot="1">
      <c r="A4" s="21" t="s">
        <v>37</v>
      </c>
      <c r="B4" s="3">
        <v>0</v>
      </c>
      <c r="C4" s="20">
        <v>31200</v>
      </c>
      <c r="D4" s="20">
        <v>28612</v>
      </c>
      <c r="E4" s="3">
        <v>0</v>
      </c>
      <c r="F4" s="3">
        <v>0</v>
      </c>
      <c r="G4" s="3">
        <v>11500</v>
      </c>
      <c r="H4" s="3">
        <v>31652</v>
      </c>
      <c r="I4" s="3">
        <v>0</v>
      </c>
      <c r="J4" s="3">
        <v>4000</v>
      </c>
      <c r="K4" s="3">
        <v>0</v>
      </c>
      <c r="L4" s="3">
        <v>400</v>
      </c>
      <c r="M4" s="3">
        <v>5400</v>
      </c>
      <c r="N4" s="3">
        <v>0</v>
      </c>
      <c r="O4" s="3">
        <v>546</v>
      </c>
      <c r="P4" s="3">
        <v>400</v>
      </c>
      <c r="Q4" s="3">
        <v>1255</v>
      </c>
      <c r="R4" s="3">
        <v>0</v>
      </c>
      <c r="S4" s="3">
        <v>0</v>
      </c>
      <c r="T4" s="3">
        <v>0</v>
      </c>
      <c r="U4" s="3">
        <v>0</v>
      </c>
      <c r="V4" s="3">
        <v>0</v>
      </c>
      <c r="W4" s="3">
        <v>0</v>
      </c>
      <c r="X4" s="3">
        <v>0</v>
      </c>
      <c r="Y4" s="3">
        <v>0</v>
      </c>
      <c r="Z4" s="3">
        <v>0</v>
      </c>
      <c r="AA4" s="3">
        <v>0</v>
      </c>
      <c r="AB4" s="3">
        <v>0</v>
      </c>
      <c r="AC4" s="69">
        <v>0</v>
      </c>
      <c r="AD4" s="27">
        <f>SUM(B4:AC4)</f>
        <v>114965</v>
      </c>
      <c r="AE4" s="93">
        <v>0</v>
      </c>
      <c r="AF4" s="93">
        <v>0</v>
      </c>
      <c r="AG4" s="93">
        <v>0</v>
      </c>
      <c r="AH4" s="93">
        <v>0</v>
      </c>
      <c r="AI4" s="93">
        <v>0</v>
      </c>
      <c r="AJ4" s="93">
        <v>0</v>
      </c>
      <c r="AK4" s="93">
        <v>0</v>
      </c>
      <c r="AL4" s="3">
        <v>0</v>
      </c>
    </row>
    <row r="5" spans="1:39" ht="16.5" thickBot="1">
      <c r="A5" s="21" t="s">
        <v>56</v>
      </c>
      <c r="B5" s="3">
        <v>563030</v>
      </c>
      <c r="C5" s="20">
        <v>31200</v>
      </c>
      <c r="D5" s="20">
        <v>28612</v>
      </c>
      <c r="E5" s="3">
        <v>302693</v>
      </c>
      <c r="F5" s="3">
        <v>83208</v>
      </c>
      <c r="G5" s="3">
        <v>8050</v>
      </c>
      <c r="H5" s="3">
        <v>34760</v>
      </c>
      <c r="I5" s="3">
        <v>0</v>
      </c>
      <c r="J5" s="3">
        <v>3700</v>
      </c>
      <c r="K5" s="3">
        <v>0</v>
      </c>
      <c r="L5" s="3">
        <v>120</v>
      </c>
      <c r="M5" s="3">
        <v>930</v>
      </c>
      <c r="N5" s="3">
        <v>963</v>
      </c>
      <c r="O5" s="3">
        <v>585</v>
      </c>
      <c r="P5" s="3">
        <v>400</v>
      </c>
      <c r="Q5" s="3">
        <v>0</v>
      </c>
      <c r="R5" s="3">
        <v>0</v>
      </c>
      <c r="S5" s="3">
        <v>0</v>
      </c>
      <c r="T5" s="3">
        <v>0</v>
      </c>
      <c r="U5" s="3">
        <v>0</v>
      </c>
      <c r="V5" s="3">
        <v>0</v>
      </c>
      <c r="W5" s="3">
        <v>0</v>
      </c>
      <c r="X5" s="3">
        <v>0</v>
      </c>
      <c r="Y5" s="3">
        <v>0</v>
      </c>
      <c r="Z5" s="3">
        <v>7090</v>
      </c>
      <c r="AA5" s="3">
        <v>0</v>
      </c>
      <c r="AB5" s="3">
        <v>3000</v>
      </c>
      <c r="AC5" s="69">
        <v>0</v>
      </c>
      <c r="AD5" s="27">
        <f>SUM(B5:AC5)</f>
        <v>1068341</v>
      </c>
      <c r="AE5" s="93">
        <v>0</v>
      </c>
      <c r="AF5" s="93">
        <v>0</v>
      </c>
      <c r="AG5" s="93">
        <v>0</v>
      </c>
      <c r="AH5" s="93">
        <v>0</v>
      </c>
      <c r="AI5" s="93">
        <v>0</v>
      </c>
      <c r="AJ5" s="93">
        <v>0</v>
      </c>
      <c r="AK5" s="93">
        <v>0</v>
      </c>
      <c r="AL5" s="3">
        <v>0</v>
      </c>
    </row>
    <row r="6" spans="1:39" ht="16.5" thickBot="1">
      <c r="A6" s="21" t="s">
        <v>39</v>
      </c>
      <c r="B6" s="3">
        <v>518620</v>
      </c>
      <c r="C6" s="20">
        <v>31200</v>
      </c>
      <c r="D6" s="20">
        <v>28612</v>
      </c>
      <c r="E6" s="3">
        <v>0</v>
      </c>
      <c r="F6" s="3">
        <v>68208</v>
      </c>
      <c r="G6" s="3">
        <v>14938</v>
      </c>
      <c r="H6" s="3">
        <v>49340</v>
      </c>
      <c r="I6" s="3">
        <v>0</v>
      </c>
      <c r="J6" s="3">
        <v>3700</v>
      </c>
      <c r="K6" s="3">
        <v>15000</v>
      </c>
      <c r="L6" s="3">
        <v>100</v>
      </c>
      <c r="M6" s="3">
        <v>610</v>
      </c>
      <c r="N6" s="3">
        <v>123</v>
      </c>
      <c r="O6" s="3">
        <v>48</v>
      </c>
      <c r="P6" s="3">
        <v>320</v>
      </c>
      <c r="Q6" s="3">
        <v>0</v>
      </c>
      <c r="R6" s="3">
        <v>0</v>
      </c>
      <c r="S6" s="3">
        <v>0</v>
      </c>
      <c r="T6" s="3">
        <v>0</v>
      </c>
      <c r="U6" s="3">
        <v>0</v>
      </c>
      <c r="V6" s="3">
        <v>0</v>
      </c>
      <c r="W6" s="3">
        <v>0</v>
      </c>
      <c r="X6" s="3">
        <v>0</v>
      </c>
      <c r="Y6" s="3">
        <v>0</v>
      </c>
      <c r="Z6" s="3">
        <v>723</v>
      </c>
      <c r="AA6" s="3">
        <v>0</v>
      </c>
      <c r="AB6" s="3">
        <v>0</v>
      </c>
      <c r="AC6" s="69"/>
      <c r="AD6" s="27">
        <f t="shared" ref="AD6:AD14" si="0">SUM(B6:AC6)</f>
        <v>731542</v>
      </c>
      <c r="AE6" s="93">
        <v>0</v>
      </c>
      <c r="AF6" s="93">
        <v>0</v>
      </c>
      <c r="AG6" s="93">
        <v>0</v>
      </c>
      <c r="AH6" s="93">
        <v>0</v>
      </c>
      <c r="AI6" s="93">
        <v>0</v>
      </c>
      <c r="AJ6" s="93">
        <v>52000</v>
      </c>
      <c r="AK6" s="93">
        <v>0</v>
      </c>
      <c r="AL6" s="3">
        <v>0</v>
      </c>
    </row>
    <row r="7" spans="1:39" ht="16.5" thickBot="1">
      <c r="A7" s="21" t="s">
        <v>40</v>
      </c>
      <c r="B7" s="3">
        <v>527940</v>
      </c>
      <c r="C7" s="20">
        <v>28220</v>
      </c>
      <c r="D7" s="20">
        <v>39078</v>
      </c>
      <c r="E7" s="3">
        <v>0</v>
      </c>
      <c r="F7" s="3">
        <v>79500</v>
      </c>
      <c r="G7" s="3">
        <v>12050</v>
      </c>
      <c r="H7" s="3">
        <v>34010</v>
      </c>
      <c r="I7" s="3">
        <v>0</v>
      </c>
      <c r="J7" s="3">
        <v>3745</v>
      </c>
      <c r="K7" s="3">
        <v>15000</v>
      </c>
      <c r="L7" s="3">
        <v>258</v>
      </c>
      <c r="M7" s="3">
        <v>3070</v>
      </c>
      <c r="N7" s="3">
        <v>1084</v>
      </c>
      <c r="O7" s="3">
        <v>195</v>
      </c>
      <c r="P7" s="3">
        <v>360</v>
      </c>
      <c r="Q7" s="3">
        <v>502</v>
      </c>
      <c r="R7" s="3">
        <v>0</v>
      </c>
      <c r="S7" s="3">
        <v>0</v>
      </c>
      <c r="T7" s="3">
        <v>0</v>
      </c>
      <c r="U7" s="3">
        <v>0</v>
      </c>
      <c r="V7" s="3">
        <v>0</v>
      </c>
      <c r="W7" s="3">
        <v>0</v>
      </c>
      <c r="X7" s="3">
        <v>0</v>
      </c>
      <c r="Y7" s="3">
        <v>0</v>
      </c>
      <c r="Z7" s="3">
        <v>822</v>
      </c>
      <c r="AA7" s="3">
        <v>0</v>
      </c>
      <c r="AB7" s="3">
        <v>4000</v>
      </c>
      <c r="AC7" s="69">
        <v>0</v>
      </c>
      <c r="AD7" s="27">
        <f t="shared" si="0"/>
        <v>749834</v>
      </c>
      <c r="AE7" s="93">
        <v>0</v>
      </c>
      <c r="AF7" s="93">
        <v>0</v>
      </c>
      <c r="AG7" s="93">
        <v>0</v>
      </c>
      <c r="AH7" s="93">
        <v>0</v>
      </c>
      <c r="AI7" s="93">
        <v>0</v>
      </c>
      <c r="AJ7" s="93">
        <v>281200</v>
      </c>
      <c r="AK7" s="93">
        <v>0</v>
      </c>
      <c r="AL7" s="3">
        <v>240000</v>
      </c>
    </row>
    <row r="8" spans="1:39" ht="16.5" thickBot="1">
      <c r="A8" s="21" t="s">
        <v>42</v>
      </c>
      <c r="B8" s="3">
        <v>519710</v>
      </c>
      <c r="C8" s="20">
        <v>31400</v>
      </c>
      <c r="D8" s="20">
        <v>39078</v>
      </c>
      <c r="E8" s="3">
        <v>0</v>
      </c>
      <c r="F8" s="3">
        <v>132000</v>
      </c>
      <c r="G8" s="3">
        <v>4500</v>
      </c>
      <c r="H8" s="3">
        <v>15577</v>
      </c>
      <c r="I8" s="3">
        <v>1460</v>
      </c>
      <c r="J8" s="3">
        <v>3500</v>
      </c>
      <c r="K8" s="3">
        <v>64400</v>
      </c>
      <c r="L8" s="3">
        <v>303</v>
      </c>
      <c r="M8" s="3">
        <v>1460</v>
      </c>
      <c r="N8" s="3">
        <v>748</v>
      </c>
      <c r="O8" s="3">
        <v>209</v>
      </c>
      <c r="P8" s="3">
        <v>190</v>
      </c>
      <c r="Q8" s="3">
        <v>0</v>
      </c>
      <c r="R8" s="3">
        <v>0</v>
      </c>
      <c r="S8" s="3">
        <v>0</v>
      </c>
      <c r="T8" s="3">
        <v>0</v>
      </c>
      <c r="U8" s="3">
        <v>0</v>
      </c>
      <c r="V8" s="3">
        <v>0</v>
      </c>
      <c r="W8" s="3">
        <v>0</v>
      </c>
      <c r="X8" s="3">
        <v>0</v>
      </c>
      <c r="Y8" s="3">
        <v>0</v>
      </c>
      <c r="Z8" s="3">
        <v>822</v>
      </c>
      <c r="AA8" s="3">
        <v>0</v>
      </c>
      <c r="AB8" s="3">
        <v>0</v>
      </c>
      <c r="AC8" s="69">
        <v>0</v>
      </c>
      <c r="AD8" s="27">
        <f t="shared" si="0"/>
        <v>815357</v>
      </c>
      <c r="AE8" s="93">
        <v>0</v>
      </c>
      <c r="AF8" s="93">
        <v>0</v>
      </c>
      <c r="AG8" s="93">
        <v>0</v>
      </c>
      <c r="AH8" s="93">
        <v>0</v>
      </c>
      <c r="AI8" s="93">
        <v>0</v>
      </c>
      <c r="AJ8" s="93">
        <v>0</v>
      </c>
      <c r="AK8" s="93">
        <v>0</v>
      </c>
      <c r="AL8" s="3">
        <v>0</v>
      </c>
    </row>
    <row r="9" spans="1:39" ht="16.5" thickBot="1">
      <c r="A9" s="21" t="s">
        <v>43</v>
      </c>
      <c r="B9" s="3">
        <v>500790</v>
      </c>
      <c r="C9" s="20">
        <v>31400</v>
      </c>
      <c r="D9" s="20">
        <v>39078</v>
      </c>
      <c r="E9" s="3">
        <v>0</v>
      </c>
      <c r="F9" s="3">
        <v>3000</v>
      </c>
      <c r="G9" s="3">
        <v>13500</v>
      </c>
      <c r="H9" s="3">
        <v>4330</v>
      </c>
      <c r="I9" s="3">
        <v>0</v>
      </c>
      <c r="J9" s="3">
        <v>3500</v>
      </c>
      <c r="K9" s="3">
        <v>15000</v>
      </c>
      <c r="L9" s="3">
        <v>431</v>
      </c>
      <c r="M9" s="3">
        <v>800</v>
      </c>
      <c r="N9" s="3">
        <v>692</v>
      </c>
      <c r="O9" s="3">
        <v>616</v>
      </c>
      <c r="P9" s="3">
        <v>320</v>
      </c>
      <c r="Q9" s="3">
        <v>5140</v>
      </c>
      <c r="R9" s="3">
        <v>0</v>
      </c>
      <c r="S9" s="3">
        <v>0</v>
      </c>
      <c r="T9" s="3">
        <v>0</v>
      </c>
      <c r="U9" s="3">
        <v>300</v>
      </c>
      <c r="V9" s="3">
        <v>0</v>
      </c>
      <c r="W9" s="3">
        <v>0</v>
      </c>
      <c r="X9" s="3">
        <v>0</v>
      </c>
      <c r="Y9" s="3">
        <v>0</v>
      </c>
      <c r="Z9" s="3">
        <v>822</v>
      </c>
      <c r="AA9" s="3">
        <v>0</v>
      </c>
      <c r="AB9" s="3">
        <v>0</v>
      </c>
      <c r="AC9" s="69">
        <v>0</v>
      </c>
      <c r="AD9" s="27">
        <f t="shared" si="0"/>
        <v>619719</v>
      </c>
      <c r="AE9" s="93">
        <v>0</v>
      </c>
      <c r="AF9" s="93">
        <v>0</v>
      </c>
      <c r="AG9" s="93">
        <v>0</v>
      </c>
      <c r="AH9" s="93">
        <v>0</v>
      </c>
      <c r="AI9" s="93">
        <v>0</v>
      </c>
      <c r="AJ9" s="93">
        <v>0</v>
      </c>
      <c r="AK9" s="93">
        <v>0</v>
      </c>
      <c r="AL9" s="3">
        <v>0</v>
      </c>
    </row>
    <row r="10" spans="1:39" ht="16.5" thickBot="1">
      <c r="A10" s="21" t="s">
        <v>44</v>
      </c>
      <c r="B10" s="3">
        <v>292920</v>
      </c>
      <c r="C10" s="20">
        <v>31400</v>
      </c>
      <c r="D10" s="20">
        <v>39078</v>
      </c>
      <c r="E10" s="3">
        <v>0</v>
      </c>
      <c r="F10" s="3">
        <v>0</v>
      </c>
      <c r="G10" s="3">
        <v>7500</v>
      </c>
      <c r="H10" s="3">
        <v>2500</v>
      </c>
      <c r="I10" s="3">
        <v>0</v>
      </c>
      <c r="J10" s="3">
        <v>3500</v>
      </c>
      <c r="K10" s="3">
        <v>0</v>
      </c>
      <c r="L10" s="3">
        <v>488</v>
      </c>
      <c r="M10" s="3">
        <v>0</v>
      </c>
      <c r="N10" s="3">
        <v>957</v>
      </c>
      <c r="O10" s="3">
        <v>430</v>
      </c>
      <c r="P10" s="3">
        <v>280</v>
      </c>
      <c r="Q10" s="3">
        <v>0</v>
      </c>
      <c r="R10" s="3">
        <v>0</v>
      </c>
      <c r="S10" s="3">
        <v>0</v>
      </c>
      <c r="T10" s="3">
        <v>30500</v>
      </c>
      <c r="U10" s="3">
        <v>2600</v>
      </c>
      <c r="V10" s="3">
        <v>0</v>
      </c>
      <c r="W10" s="3">
        <v>0</v>
      </c>
      <c r="X10" s="3">
        <v>0</v>
      </c>
      <c r="Y10" s="3">
        <v>0</v>
      </c>
      <c r="Z10" s="3">
        <v>822</v>
      </c>
      <c r="AA10" s="3">
        <v>0</v>
      </c>
      <c r="AB10" s="3">
        <v>0</v>
      </c>
      <c r="AC10" s="69">
        <v>0</v>
      </c>
      <c r="AD10" s="27">
        <f t="shared" si="0"/>
        <v>412975</v>
      </c>
      <c r="AE10" s="93">
        <v>0</v>
      </c>
      <c r="AF10" s="93">
        <v>0</v>
      </c>
      <c r="AG10" s="93">
        <v>10845</v>
      </c>
      <c r="AH10" s="93">
        <v>0</v>
      </c>
      <c r="AI10" s="93">
        <v>0</v>
      </c>
      <c r="AJ10" s="93">
        <v>0</v>
      </c>
      <c r="AK10" s="93">
        <v>0</v>
      </c>
      <c r="AL10" s="3">
        <v>0</v>
      </c>
    </row>
    <row r="11" spans="1:39" ht="16.5" thickBot="1">
      <c r="A11" s="21" t="s">
        <v>45</v>
      </c>
      <c r="B11" s="74">
        <v>207700</v>
      </c>
      <c r="C11" s="20">
        <v>31400</v>
      </c>
      <c r="D11" s="20">
        <v>39900</v>
      </c>
      <c r="E11" s="3">
        <v>0</v>
      </c>
      <c r="F11" s="3">
        <v>0</v>
      </c>
      <c r="G11" s="3">
        <v>6000</v>
      </c>
      <c r="H11" s="3">
        <v>0</v>
      </c>
      <c r="I11" s="3">
        <v>0</v>
      </c>
      <c r="J11" s="3">
        <v>3500</v>
      </c>
      <c r="K11" s="3">
        <v>0</v>
      </c>
      <c r="L11" s="3">
        <v>50</v>
      </c>
      <c r="M11" s="3">
        <v>500</v>
      </c>
      <c r="N11" s="3">
        <v>710</v>
      </c>
      <c r="O11" s="3">
        <v>486</v>
      </c>
      <c r="P11" s="3">
        <v>0</v>
      </c>
      <c r="Q11" s="3">
        <v>1945</v>
      </c>
      <c r="R11" s="3">
        <v>0</v>
      </c>
      <c r="S11" s="3">
        <v>0</v>
      </c>
      <c r="T11" s="3">
        <v>0</v>
      </c>
      <c r="U11" s="3">
        <v>0</v>
      </c>
      <c r="V11" s="3">
        <v>0</v>
      </c>
      <c r="W11" s="3">
        <v>0</v>
      </c>
      <c r="X11" s="3">
        <v>0</v>
      </c>
      <c r="Y11" s="3">
        <v>0</v>
      </c>
      <c r="Z11" s="3">
        <v>822</v>
      </c>
      <c r="AA11" s="3">
        <v>0</v>
      </c>
      <c r="AB11" s="3">
        <v>0</v>
      </c>
      <c r="AC11" s="69">
        <v>0</v>
      </c>
      <c r="AD11" s="27">
        <f t="shared" si="0"/>
        <v>293013</v>
      </c>
      <c r="AE11" s="93">
        <v>0</v>
      </c>
      <c r="AF11" s="93">
        <v>0</v>
      </c>
      <c r="AG11" s="93">
        <v>0</v>
      </c>
      <c r="AH11" s="93">
        <v>0</v>
      </c>
      <c r="AI11" s="93">
        <v>0</v>
      </c>
      <c r="AJ11" s="93">
        <v>0</v>
      </c>
      <c r="AK11" s="93">
        <v>0</v>
      </c>
      <c r="AL11" s="3">
        <v>0</v>
      </c>
    </row>
    <row r="12" spans="1:39" ht="16.5" thickBot="1">
      <c r="A12" s="21" t="s">
        <v>47</v>
      </c>
      <c r="B12" s="3">
        <v>267030</v>
      </c>
      <c r="C12" s="20">
        <v>31400</v>
      </c>
      <c r="D12" s="20">
        <v>39900</v>
      </c>
      <c r="E12" s="3">
        <v>0</v>
      </c>
      <c r="F12" s="3">
        <v>0</v>
      </c>
      <c r="G12" s="3">
        <v>18000</v>
      </c>
      <c r="H12" s="3">
        <v>21868</v>
      </c>
      <c r="I12" s="3">
        <v>0</v>
      </c>
      <c r="J12" s="3">
        <v>3500</v>
      </c>
      <c r="K12" s="3">
        <v>0</v>
      </c>
      <c r="L12" s="3">
        <v>0</v>
      </c>
      <c r="M12" s="3">
        <v>13333</v>
      </c>
      <c r="N12" s="3">
        <v>710</v>
      </c>
      <c r="O12" s="3">
        <v>266</v>
      </c>
      <c r="P12" s="3">
        <v>0</v>
      </c>
      <c r="Q12" s="3">
        <v>0</v>
      </c>
      <c r="R12" s="3">
        <v>0</v>
      </c>
      <c r="S12" s="3">
        <v>0</v>
      </c>
      <c r="T12" s="3">
        <v>0</v>
      </c>
      <c r="U12" s="3">
        <v>0</v>
      </c>
      <c r="V12" s="3">
        <v>0</v>
      </c>
      <c r="W12" s="3">
        <v>0</v>
      </c>
      <c r="X12" s="3">
        <v>0</v>
      </c>
      <c r="Y12" s="3">
        <v>0</v>
      </c>
      <c r="Z12" s="3">
        <v>0</v>
      </c>
      <c r="AA12" s="3">
        <v>0</v>
      </c>
      <c r="AB12" s="3">
        <v>0</v>
      </c>
      <c r="AC12" s="69">
        <v>0</v>
      </c>
      <c r="AD12" s="27">
        <f t="shared" si="0"/>
        <v>396007</v>
      </c>
      <c r="AE12" s="93">
        <v>0</v>
      </c>
      <c r="AF12" s="93">
        <v>0</v>
      </c>
      <c r="AG12" s="93">
        <v>0</v>
      </c>
      <c r="AH12" s="93">
        <v>0</v>
      </c>
      <c r="AI12" s="93">
        <v>0</v>
      </c>
      <c r="AJ12" s="93">
        <v>0</v>
      </c>
      <c r="AK12" s="93">
        <v>0</v>
      </c>
      <c r="AL12" s="3">
        <v>0</v>
      </c>
    </row>
    <row r="13" spans="1:39" ht="16.5" thickBot="1">
      <c r="A13" s="21" t="s">
        <v>50</v>
      </c>
      <c r="B13" s="3">
        <v>304510</v>
      </c>
      <c r="C13" s="3">
        <v>31400</v>
      </c>
      <c r="D13" s="20">
        <v>39900</v>
      </c>
      <c r="E13" s="3">
        <v>0</v>
      </c>
      <c r="F13" s="3">
        <v>0</v>
      </c>
      <c r="G13" s="3">
        <v>3000</v>
      </c>
      <c r="H13" s="3">
        <v>170</v>
      </c>
      <c r="I13" s="3">
        <v>0</v>
      </c>
      <c r="J13" s="3">
        <v>3500</v>
      </c>
      <c r="K13" s="3">
        <v>0</v>
      </c>
      <c r="L13" s="3">
        <v>0</v>
      </c>
      <c r="M13" s="3">
        <v>2160</v>
      </c>
      <c r="N13" s="3">
        <v>710</v>
      </c>
      <c r="O13" s="3">
        <v>576</v>
      </c>
      <c r="P13" s="3">
        <v>0</v>
      </c>
      <c r="Q13" s="3">
        <v>875</v>
      </c>
      <c r="R13" s="3">
        <v>0</v>
      </c>
      <c r="S13" s="3">
        <v>0</v>
      </c>
      <c r="T13" s="3">
        <v>0</v>
      </c>
      <c r="U13" s="3">
        <v>0</v>
      </c>
      <c r="V13" s="3">
        <v>0</v>
      </c>
      <c r="W13" s="3">
        <v>0</v>
      </c>
      <c r="X13" s="3">
        <v>0</v>
      </c>
      <c r="Y13" s="3">
        <v>0</v>
      </c>
      <c r="Z13" s="3">
        <v>0</v>
      </c>
      <c r="AA13" s="3">
        <v>0</v>
      </c>
      <c r="AB13" s="3">
        <v>0</v>
      </c>
      <c r="AC13" s="69">
        <v>0</v>
      </c>
      <c r="AD13" s="27">
        <f t="shared" si="0"/>
        <v>386801</v>
      </c>
      <c r="AE13" s="93">
        <v>0</v>
      </c>
      <c r="AF13" s="93">
        <v>0</v>
      </c>
      <c r="AG13" s="93">
        <v>0</v>
      </c>
      <c r="AH13" s="93">
        <v>0</v>
      </c>
      <c r="AI13" s="93">
        <v>0</v>
      </c>
      <c r="AJ13" s="93">
        <v>0</v>
      </c>
      <c r="AK13" s="93">
        <v>0</v>
      </c>
      <c r="AL13" s="3">
        <v>0</v>
      </c>
    </row>
    <row r="14" spans="1:39" ht="16.5" thickBot="1">
      <c r="A14" s="21" t="s">
        <v>51</v>
      </c>
      <c r="B14" s="24">
        <v>335000</v>
      </c>
      <c r="C14" s="24">
        <v>31400</v>
      </c>
      <c r="D14" s="20">
        <v>39900</v>
      </c>
      <c r="E14" s="24">
        <v>0</v>
      </c>
      <c r="F14" s="24">
        <v>0</v>
      </c>
      <c r="G14" s="24">
        <v>8500</v>
      </c>
      <c r="H14" s="24">
        <v>7582</v>
      </c>
      <c r="I14" s="24">
        <v>0</v>
      </c>
      <c r="J14" s="24">
        <v>3500</v>
      </c>
      <c r="K14" s="24">
        <v>0</v>
      </c>
      <c r="L14" s="24">
        <v>448</v>
      </c>
      <c r="M14" s="24">
        <v>10521</v>
      </c>
      <c r="N14" s="24">
        <v>681</v>
      </c>
      <c r="O14" s="24">
        <v>146</v>
      </c>
      <c r="P14" s="24">
        <v>0</v>
      </c>
      <c r="Q14" s="24">
        <v>294</v>
      </c>
      <c r="R14" s="24">
        <v>0</v>
      </c>
      <c r="S14" s="24">
        <v>0</v>
      </c>
      <c r="T14" s="24">
        <v>0</v>
      </c>
      <c r="U14" s="24">
        <v>0</v>
      </c>
      <c r="V14" s="24">
        <v>0</v>
      </c>
      <c r="W14" s="24">
        <v>0</v>
      </c>
      <c r="X14" s="24">
        <v>0</v>
      </c>
      <c r="Y14" s="24">
        <v>0</v>
      </c>
      <c r="Z14" s="24">
        <v>401</v>
      </c>
      <c r="AA14" s="24">
        <v>0</v>
      </c>
      <c r="AB14" s="24">
        <v>0</v>
      </c>
      <c r="AC14" s="70">
        <v>0</v>
      </c>
      <c r="AD14" s="27">
        <f t="shared" si="0"/>
        <v>438373</v>
      </c>
      <c r="AE14" s="94">
        <v>0</v>
      </c>
      <c r="AF14" s="94">
        <v>0</v>
      </c>
      <c r="AG14" s="94">
        <v>0</v>
      </c>
      <c r="AH14" s="94">
        <v>0</v>
      </c>
      <c r="AI14" s="94">
        <v>0</v>
      </c>
      <c r="AJ14" s="94">
        <v>0</v>
      </c>
      <c r="AK14" s="94">
        <v>0</v>
      </c>
      <c r="AL14" s="24">
        <v>0</v>
      </c>
    </row>
    <row r="15" spans="1:39" ht="15.75">
      <c r="B15" s="59">
        <f>SUM(B3:B14)</f>
        <v>4038750</v>
      </c>
      <c r="C15" s="59">
        <f t="shared" ref="C15:AB15" si="1">SUM(C3:C14)</f>
        <v>372820</v>
      </c>
      <c r="D15" s="59">
        <f t="shared" si="1"/>
        <v>430360</v>
      </c>
      <c r="E15" s="59">
        <f t="shared" si="1"/>
        <v>302693</v>
      </c>
      <c r="F15" s="59">
        <f t="shared" si="1"/>
        <v>455916</v>
      </c>
      <c r="G15" s="59">
        <f t="shared" si="1"/>
        <v>113088</v>
      </c>
      <c r="H15" s="59">
        <f t="shared" si="1"/>
        <v>210274</v>
      </c>
      <c r="I15" s="59">
        <f t="shared" si="1"/>
        <v>1460</v>
      </c>
      <c r="J15" s="59">
        <f t="shared" si="1"/>
        <v>43645</v>
      </c>
      <c r="K15" s="59">
        <f t="shared" si="1"/>
        <v>109400</v>
      </c>
      <c r="L15" s="59">
        <f t="shared" si="1"/>
        <v>17398</v>
      </c>
      <c r="M15" s="59">
        <f t="shared" si="1"/>
        <v>39869</v>
      </c>
      <c r="N15" s="59">
        <f t="shared" si="1"/>
        <v>9113</v>
      </c>
      <c r="O15" s="59">
        <f t="shared" si="1"/>
        <v>4836</v>
      </c>
      <c r="P15" s="59">
        <f t="shared" si="1"/>
        <v>2270</v>
      </c>
      <c r="Q15" s="59">
        <f t="shared" si="1"/>
        <v>10011</v>
      </c>
      <c r="R15" s="59">
        <f t="shared" si="1"/>
        <v>0</v>
      </c>
      <c r="S15" s="59">
        <f t="shared" si="1"/>
        <v>0</v>
      </c>
      <c r="T15" s="59">
        <f t="shared" si="1"/>
        <v>30500</v>
      </c>
      <c r="U15" s="59">
        <f t="shared" si="1"/>
        <v>2900</v>
      </c>
      <c r="V15" s="59">
        <f t="shared" si="1"/>
        <v>0</v>
      </c>
      <c r="W15" s="59">
        <f t="shared" si="1"/>
        <v>0</v>
      </c>
      <c r="X15" s="59">
        <f t="shared" si="1"/>
        <v>0</v>
      </c>
      <c r="Y15" s="59">
        <f t="shared" si="1"/>
        <v>0</v>
      </c>
      <c r="Z15" s="59">
        <f t="shared" si="1"/>
        <v>12932</v>
      </c>
      <c r="AA15" s="59">
        <f t="shared" si="1"/>
        <v>2000</v>
      </c>
      <c r="AB15" s="59">
        <f t="shared" si="1"/>
        <v>8274</v>
      </c>
      <c r="AC15" s="59">
        <f>SUM(AC3:AC14)</f>
        <v>0</v>
      </c>
      <c r="AD15" s="27">
        <f>SUM(B15:AC15)</f>
        <v>6218509</v>
      </c>
      <c r="AE15" s="59">
        <f t="shared" ref="AE15:AL15" si="2">SUM(AE3:AE14)</f>
        <v>0</v>
      </c>
      <c r="AF15" s="59">
        <f t="shared" si="2"/>
        <v>0</v>
      </c>
      <c r="AG15" s="59">
        <f t="shared" si="2"/>
        <v>10845</v>
      </c>
      <c r="AH15" s="59">
        <f t="shared" si="2"/>
        <v>0</v>
      </c>
      <c r="AI15" s="59">
        <f t="shared" si="2"/>
        <v>0</v>
      </c>
      <c r="AJ15" s="59">
        <f>SUM(AJ3:AJ14)</f>
        <v>333200</v>
      </c>
      <c r="AK15" s="59">
        <f t="shared" si="2"/>
        <v>0</v>
      </c>
      <c r="AL15" s="59">
        <f t="shared" si="2"/>
        <v>249300</v>
      </c>
      <c r="AM15" s="98">
        <f>SUM(AE15:AL15)</f>
        <v>593345</v>
      </c>
    </row>
    <row r="16" spans="1:39">
      <c r="E16" s="82"/>
    </row>
    <row r="27" spans="11:11">
      <c r="K27" t="s">
        <v>209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5"/>
  <sheetViews>
    <sheetView topLeftCell="A6" workbookViewId="0">
      <selection activeCell="F23" sqref="F23"/>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6"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6" ht="15.75" thickBot="1">
      <c r="A2" s="47"/>
      <c r="B2" s="38" t="s">
        <v>71</v>
      </c>
      <c r="C2" s="38" t="s">
        <v>72</v>
      </c>
      <c r="D2" s="38" t="s">
        <v>152</v>
      </c>
      <c r="E2" s="38" t="s">
        <v>78</v>
      </c>
      <c r="F2" s="38" t="s">
        <v>76</v>
      </c>
      <c r="G2" s="38" t="s">
        <v>79</v>
      </c>
      <c r="H2" s="38" t="s">
        <v>153</v>
      </c>
      <c r="I2" s="38" t="s">
        <v>80</v>
      </c>
      <c r="J2" s="38" t="s">
        <v>210</v>
      </c>
      <c r="K2" s="38" t="s">
        <v>155</v>
      </c>
      <c r="L2" s="38" t="s">
        <v>59</v>
      </c>
      <c r="M2" s="25" t="s">
        <v>156</v>
      </c>
      <c r="N2" s="31" t="s">
        <v>20</v>
      </c>
      <c r="O2" s="49" t="s">
        <v>74</v>
      </c>
      <c r="P2" s="38" t="s">
        <v>75</v>
      </c>
      <c r="Q2" s="73" t="s">
        <v>127</v>
      </c>
      <c r="R2" s="50" t="s">
        <v>73</v>
      </c>
      <c r="S2" s="25" t="s">
        <v>20</v>
      </c>
      <c r="T2" s="55" t="s">
        <v>77</v>
      </c>
      <c r="U2" s="11" t="s">
        <v>78</v>
      </c>
      <c r="V2" s="29" t="s">
        <v>20</v>
      </c>
      <c r="W2" s="52" t="s">
        <v>211</v>
      </c>
    </row>
    <row r="3" spans="1:26" ht="15.75">
      <c r="A3" s="19" t="s">
        <v>36</v>
      </c>
      <c r="B3" s="20">
        <v>43500</v>
      </c>
      <c r="C3" s="20">
        <v>190326</v>
      </c>
      <c r="D3" s="20">
        <v>0</v>
      </c>
      <c r="E3" s="20">
        <v>0</v>
      </c>
      <c r="F3" s="20">
        <v>0</v>
      </c>
      <c r="G3" s="20">
        <v>1800</v>
      </c>
      <c r="H3" s="20">
        <v>565</v>
      </c>
      <c r="I3" s="20">
        <v>0</v>
      </c>
      <c r="J3" s="20">
        <v>4676</v>
      </c>
      <c r="K3" s="3">
        <v>0</v>
      </c>
      <c r="L3" s="3">
        <v>3815</v>
      </c>
      <c r="M3" s="3">
        <v>86902</v>
      </c>
      <c r="N3" s="43">
        <f>SUM(B3:M3)</f>
        <v>331584</v>
      </c>
      <c r="O3" s="19">
        <v>0</v>
      </c>
      <c r="P3" s="20">
        <v>0</v>
      </c>
      <c r="Q3" s="20">
        <v>3000</v>
      </c>
      <c r="R3" s="20">
        <v>7000</v>
      </c>
      <c r="S3" s="43">
        <f>SUM(O3:R3)</f>
        <v>10000</v>
      </c>
      <c r="T3" s="21"/>
      <c r="U3" s="9"/>
      <c r="V3" s="58">
        <f>SUM(T3:U3)</f>
        <v>0</v>
      </c>
      <c r="W3" s="53">
        <f>N3+S3+V3</f>
        <v>341584</v>
      </c>
      <c r="X3" s="14"/>
    </row>
    <row r="4" spans="1:26" ht="15.75">
      <c r="A4" s="21" t="s">
        <v>37</v>
      </c>
      <c r="B4" s="3">
        <v>1638800</v>
      </c>
      <c r="C4" s="3">
        <v>269751</v>
      </c>
      <c r="D4" s="3">
        <v>0</v>
      </c>
      <c r="E4" s="3">
        <v>0</v>
      </c>
      <c r="F4" s="3">
        <v>500</v>
      </c>
      <c r="G4" s="3">
        <v>2550</v>
      </c>
      <c r="H4" s="3">
        <v>452</v>
      </c>
      <c r="I4" s="3">
        <v>0</v>
      </c>
      <c r="J4" s="3">
        <v>5164</v>
      </c>
      <c r="K4" s="3">
        <v>0</v>
      </c>
      <c r="L4" s="3">
        <v>3710</v>
      </c>
      <c r="M4" s="3">
        <v>29982</v>
      </c>
      <c r="N4" s="41">
        <f>SUM(B4:M4)</f>
        <v>1950909</v>
      </c>
      <c r="O4" s="21">
        <v>0</v>
      </c>
      <c r="P4" s="3">
        <v>4000</v>
      </c>
      <c r="Q4" s="3">
        <v>0</v>
      </c>
      <c r="R4" s="3">
        <v>290500</v>
      </c>
      <c r="S4" s="40">
        <f>SUM(O4:R4)</f>
        <v>294500</v>
      </c>
      <c r="T4" s="21"/>
      <c r="U4" s="9"/>
      <c r="V4" s="30"/>
      <c r="W4" s="53">
        <f t="shared" ref="W4:W15" si="0">N4+S4+V4</f>
        <v>2245409</v>
      </c>
    </row>
    <row r="5" spans="1:26" ht="15.75">
      <c r="A5" s="21" t="s">
        <v>56</v>
      </c>
      <c r="B5" s="3">
        <v>249500</v>
      </c>
      <c r="C5" s="3">
        <v>515485</v>
      </c>
      <c r="D5" s="3">
        <v>0</v>
      </c>
      <c r="E5" s="3">
        <v>0</v>
      </c>
      <c r="F5" s="3">
        <v>0</v>
      </c>
      <c r="G5" s="3">
        <v>2500</v>
      </c>
      <c r="H5" s="3">
        <v>904</v>
      </c>
      <c r="I5" s="3">
        <v>0</v>
      </c>
      <c r="J5" s="3">
        <v>12560</v>
      </c>
      <c r="K5" s="3">
        <v>0</v>
      </c>
      <c r="L5" s="3">
        <v>3675</v>
      </c>
      <c r="M5" s="3">
        <v>34944</v>
      </c>
      <c r="N5" s="41">
        <f>SUM(B5:M5)</f>
        <v>819568</v>
      </c>
      <c r="O5" s="21">
        <v>0</v>
      </c>
      <c r="P5" s="3">
        <v>0</v>
      </c>
      <c r="Q5" s="3">
        <v>0</v>
      </c>
      <c r="R5" s="3">
        <v>56000</v>
      </c>
      <c r="S5" s="40">
        <f t="shared" ref="S5:S14" si="1">SUM(O5:R5)</f>
        <v>56000</v>
      </c>
      <c r="T5" s="21"/>
      <c r="U5" s="9"/>
      <c r="V5" s="30"/>
      <c r="W5" s="53">
        <f t="shared" si="0"/>
        <v>875568</v>
      </c>
    </row>
    <row r="6" spans="1:26" ht="15.75">
      <c r="A6" s="21" t="s">
        <v>39</v>
      </c>
      <c r="B6" s="3">
        <v>111600</v>
      </c>
      <c r="C6" s="3">
        <v>512552</v>
      </c>
      <c r="D6" s="3">
        <v>0</v>
      </c>
      <c r="E6" s="3">
        <v>0</v>
      </c>
      <c r="F6" s="3">
        <v>1000</v>
      </c>
      <c r="G6" s="3">
        <v>4300</v>
      </c>
      <c r="H6" s="3">
        <v>0</v>
      </c>
      <c r="I6" s="3">
        <v>0</v>
      </c>
      <c r="J6" s="3">
        <v>0</v>
      </c>
      <c r="K6" s="3">
        <v>0</v>
      </c>
      <c r="L6" s="3">
        <v>3920</v>
      </c>
      <c r="M6" s="3">
        <v>36406</v>
      </c>
      <c r="N6" s="41">
        <f>SUM(B6:M6)</f>
        <v>669778</v>
      </c>
      <c r="O6" s="21">
        <v>0</v>
      </c>
      <c r="P6" s="3">
        <v>4000</v>
      </c>
      <c r="Q6" s="3">
        <v>0</v>
      </c>
      <c r="R6" s="3">
        <v>10500</v>
      </c>
      <c r="S6" s="40">
        <f t="shared" si="1"/>
        <v>14500</v>
      </c>
      <c r="T6" s="21"/>
      <c r="U6" s="9"/>
      <c r="V6" s="30"/>
      <c r="W6" s="53">
        <f t="shared" si="0"/>
        <v>684278</v>
      </c>
    </row>
    <row r="7" spans="1:26" ht="15.75">
      <c r="A7" s="21" t="s">
        <v>40</v>
      </c>
      <c r="B7" s="3">
        <v>56100</v>
      </c>
      <c r="C7" s="3">
        <v>349819</v>
      </c>
      <c r="D7" s="3">
        <v>0</v>
      </c>
      <c r="E7" s="3">
        <v>1000</v>
      </c>
      <c r="F7" s="3">
        <v>500</v>
      </c>
      <c r="G7" s="3">
        <v>2850</v>
      </c>
      <c r="H7" s="3">
        <v>228</v>
      </c>
      <c r="I7" s="3">
        <v>0</v>
      </c>
      <c r="J7" s="3">
        <v>0</v>
      </c>
      <c r="K7" s="3">
        <v>0</v>
      </c>
      <c r="L7" s="3">
        <v>3570</v>
      </c>
      <c r="M7" s="3">
        <v>89040</v>
      </c>
      <c r="N7" s="41">
        <f t="shared" ref="N7:N14" si="2">SUM(B7:M7)</f>
        <v>503107</v>
      </c>
      <c r="O7" s="21">
        <v>0</v>
      </c>
      <c r="P7" s="3">
        <v>4000</v>
      </c>
      <c r="Q7" s="3">
        <v>0</v>
      </c>
      <c r="R7" s="3">
        <v>3500</v>
      </c>
      <c r="S7" s="40">
        <f t="shared" si="1"/>
        <v>7500</v>
      </c>
      <c r="T7" s="21"/>
      <c r="U7" s="9"/>
      <c r="V7" s="30"/>
      <c r="W7" s="53">
        <f t="shared" si="0"/>
        <v>510607</v>
      </c>
    </row>
    <row r="8" spans="1:26" ht="15.75">
      <c r="A8" s="21" t="s">
        <v>42</v>
      </c>
      <c r="B8" s="3">
        <v>84800</v>
      </c>
      <c r="C8" s="3">
        <v>452947</v>
      </c>
      <c r="D8" s="3">
        <v>0</v>
      </c>
      <c r="E8" s="3">
        <v>7000</v>
      </c>
      <c r="F8" s="3">
        <v>500</v>
      </c>
      <c r="G8" s="3">
        <v>1250</v>
      </c>
      <c r="H8" s="3">
        <v>0</v>
      </c>
      <c r="I8" s="3">
        <v>0</v>
      </c>
      <c r="J8" s="3">
        <v>0</v>
      </c>
      <c r="K8" s="3">
        <v>0</v>
      </c>
      <c r="L8" s="3">
        <v>3640</v>
      </c>
      <c r="M8" s="3">
        <v>99940</v>
      </c>
      <c r="N8" s="41">
        <f t="shared" si="2"/>
        <v>650077</v>
      </c>
      <c r="O8" s="21">
        <v>0</v>
      </c>
      <c r="P8" s="3">
        <v>4000</v>
      </c>
      <c r="Q8" s="3">
        <v>0</v>
      </c>
      <c r="R8" s="3">
        <v>3850</v>
      </c>
      <c r="S8" s="40">
        <f t="shared" si="1"/>
        <v>7850</v>
      </c>
      <c r="T8" s="21"/>
      <c r="U8" s="9"/>
      <c r="V8" s="30"/>
      <c r="W8" s="53">
        <f t="shared" si="0"/>
        <v>657927</v>
      </c>
    </row>
    <row r="9" spans="1:26" ht="15.75">
      <c r="A9" s="21" t="s">
        <v>43</v>
      </c>
      <c r="B9" s="3">
        <v>65700</v>
      </c>
      <c r="C9" s="3">
        <v>405653</v>
      </c>
      <c r="D9" s="3">
        <v>0</v>
      </c>
      <c r="E9" s="3">
        <v>0</v>
      </c>
      <c r="F9" s="3">
        <v>0</v>
      </c>
      <c r="G9" s="3">
        <v>2800</v>
      </c>
      <c r="H9" s="3">
        <v>0</v>
      </c>
      <c r="I9" s="3">
        <v>0</v>
      </c>
      <c r="J9" s="3">
        <v>0</v>
      </c>
      <c r="K9" s="3">
        <v>0</v>
      </c>
      <c r="L9" s="3">
        <v>3850</v>
      </c>
      <c r="M9" s="3">
        <v>4950</v>
      </c>
      <c r="N9" s="41">
        <f>SUM(B9:M9)</f>
        <v>482953</v>
      </c>
      <c r="O9" s="21">
        <v>0</v>
      </c>
      <c r="P9" s="3">
        <v>0</v>
      </c>
      <c r="Q9" s="3">
        <v>0</v>
      </c>
      <c r="R9" s="3">
        <v>0</v>
      </c>
      <c r="S9" s="40">
        <f t="shared" si="1"/>
        <v>0</v>
      </c>
      <c r="T9" s="21"/>
      <c r="U9" s="9"/>
      <c r="V9" s="30"/>
      <c r="W9" s="53">
        <f t="shared" si="0"/>
        <v>482953</v>
      </c>
    </row>
    <row r="10" spans="1:26" ht="15.75">
      <c r="A10" s="21" t="s">
        <v>44</v>
      </c>
      <c r="B10" s="3">
        <v>55800</v>
      </c>
      <c r="C10" s="3">
        <v>270628</v>
      </c>
      <c r="D10" s="3">
        <v>0</v>
      </c>
      <c r="E10" s="3">
        <v>2000</v>
      </c>
      <c r="F10" s="3">
        <v>0</v>
      </c>
      <c r="G10" s="3">
        <v>2850</v>
      </c>
      <c r="H10" s="3">
        <v>1368</v>
      </c>
      <c r="I10" s="3">
        <v>0</v>
      </c>
      <c r="J10" s="3">
        <v>35508</v>
      </c>
      <c r="K10" s="3">
        <v>0</v>
      </c>
      <c r="L10" s="3">
        <v>3815</v>
      </c>
      <c r="M10" s="3">
        <v>0</v>
      </c>
      <c r="N10" s="41">
        <f t="shared" si="2"/>
        <v>371969</v>
      </c>
      <c r="O10" s="21">
        <v>0</v>
      </c>
      <c r="P10" s="3">
        <v>0</v>
      </c>
      <c r="Q10" s="3">
        <v>0</v>
      </c>
      <c r="R10" s="3">
        <v>0</v>
      </c>
      <c r="S10" s="40">
        <f t="shared" si="1"/>
        <v>0</v>
      </c>
      <c r="T10" s="21"/>
      <c r="U10" s="9"/>
      <c r="V10" s="30"/>
      <c r="W10" s="53">
        <f t="shared" si="0"/>
        <v>371969</v>
      </c>
    </row>
    <row r="11" spans="1:26" ht="15.75">
      <c r="A11" s="21" t="s">
        <v>45</v>
      </c>
      <c r="B11" s="3">
        <v>34000</v>
      </c>
      <c r="C11" s="3">
        <v>197196</v>
      </c>
      <c r="D11" s="3">
        <v>0</v>
      </c>
      <c r="E11" s="3">
        <v>0</v>
      </c>
      <c r="F11" s="3">
        <v>0</v>
      </c>
      <c r="G11" s="3">
        <v>1100</v>
      </c>
      <c r="H11" s="3">
        <v>228</v>
      </c>
      <c r="I11" s="3">
        <v>0</v>
      </c>
      <c r="J11" s="3">
        <v>3465</v>
      </c>
      <c r="K11" s="3">
        <v>0</v>
      </c>
      <c r="L11" s="3">
        <v>3675</v>
      </c>
      <c r="M11" s="3">
        <v>0</v>
      </c>
      <c r="N11" s="41">
        <f t="shared" si="2"/>
        <v>239664</v>
      </c>
      <c r="O11" s="21">
        <v>0</v>
      </c>
      <c r="P11" s="3">
        <v>0</v>
      </c>
      <c r="Q11" s="3">
        <v>0</v>
      </c>
      <c r="R11" s="3">
        <v>0</v>
      </c>
      <c r="S11" s="40">
        <f t="shared" si="1"/>
        <v>0</v>
      </c>
      <c r="T11" s="21"/>
      <c r="U11" s="9"/>
      <c r="V11" s="30"/>
      <c r="W11" s="53">
        <f t="shared" si="0"/>
        <v>239664</v>
      </c>
    </row>
    <row r="12" spans="1:26" ht="15.75">
      <c r="A12" s="21" t="s">
        <v>47</v>
      </c>
      <c r="B12" s="3">
        <v>40800</v>
      </c>
      <c r="C12" s="3">
        <v>284574</v>
      </c>
      <c r="D12" s="3">
        <v>0</v>
      </c>
      <c r="E12" s="3">
        <v>2000</v>
      </c>
      <c r="F12" s="3">
        <v>0</v>
      </c>
      <c r="G12" s="3">
        <v>1000</v>
      </c>
      <c r="H12" s="3">
        <v>456</v>
      </c>
      <c r="I12" s="3">
        <v>0</v>
      </c>
      <c r="J12" s="3">
        <v>14526</v>
      </c>
      <c r="K12" s="3">
        <v>0</v>
      </c>
      <c r="L12" s="3">
        <v>4130</v>
      </c>
      <c r="M12" s="3">
        <v>0</v>
      </c>
      <c r="N12" s="41">
        <f t="shared" si="2"/>
        <v>347486</v>
      </c>
      <c r="O12" s="21">
        <v>0</v>
      </c>
      <c r="P12" s="3">
        <v>0</v>
      </c>
      <c r="Q12" s="3">
        <v>0</v>
      </c>
      <c r="R12" s="3">
        <v>0</v>
      </c>
      <c r="S12" s="40">
        <f t="shared" si="1"/>
        <v>0</v>
      </c>
      <c r="T12" s="21"/>
      <c r="U12" s="9"/>
      <c r="V12" s="30"/>
      <c r="W12" s="53">
        <f t="shared" si="0"/>
        <v>347486</v>
      </c>
    </row>
    <row r="13" spans="1:26" ht="15.75">
      <c r="A13" s="21" t="s">
        <v>50</v>
      </c>
      <c r="B13" s="3">
        <v>49000</v>
      </c>
      <c r="C13" s="3">
        <v>267499</v>
      </c>
      <c r="D13" s="3">
        <v>0</v>
      </c>
      <c r="E13" s="3">
        <v>6000</v>
      </c>
      <c r="F13" s="3">
        <v>0</v>
      </c>
      <c r="G13" s="3">
        <v>1100</v>
      </c>
      <c r="H13" s="3">
        <v>456</v>
      </c>
      <c r="I13" s="3">
        <v>0</v>
      </c>
      <c r="J13" s="3">
        <v>7245</v>
      </c>
      <c r="K13" s="3">
        <v>0</v>
      </c>
      <c r="L13" s="3">
        <v>3430</v>
      </c>
      <c r="M13" s="3">
        <v>0</v>
      </c>
      <c r="N13" s="41">
        <f t="shared" si="2"/>
        <v>334730</v>
      </c>
      <c r="O13" s="21">
        <v>0</v>
      </c>
      <c r="P13" s="3">
        <v>0</v>
      </c>
      <c r="Q13" s="3">
        <v>0</v>
      </c>
      <c r="R13" s="3">
        <v>0</v>
      </c>
      <c r="S13" s="40">
        <f t="shared" si="1"/>
        <v>0</v>
      </c>
      <c r="T13" s="21"/>
      <c r="U13" s="9"/>
      <c r="V13" s="30"/>
      <c r="W13" s="53">
        <f t="shared" si="0"/>
        <v>334730</v>
      </c>
    </row>
    <row r="14" spans="1:26" ht="16.5" thickBot="1">
      <c r="A14" s="22" t="s">
        <v>51</v>
      </c>
      <c r="B14" s="23">
        <v>52700</v>
      </c>
      <c r="C14" s="23">
        <v>217059</v>
      </c>
      <c r="D14" s="23">
        <v>0</v>
      </c>
      <c r="E14" s="23">
        <v>0</v>
      </c>
      <c r="F14" s="23">
        <v>0</v>
      </c>
      <c r="G14" s="23">
        <v>1900</v>
      </c>
      <c r="H14" s="23">
        <v>0</v>
      </c>
      <c r="I14" s="23">
        <v>0</v>
      </c>
      <c r="J14" s="23">
        <v>0</v>
      </c>
      <c r="K14" s="3">
        <v>0</v>
      </c>
      <c r="L14" s="3">
        <v>3955</v>
      </c>
      <c r="M14" s="3">
        <v>0</v>
      </c>
      <c r="N14" s="44">
        <f t="shared" si="2"/>
        <v>275614</v>
      </c>
      <c r="O14" s="21"/>
      <c r="P14" s="3"/>
      <c r="Q14" s="3"/>
      <c r="R14" s="3">
        <v>3500</v>
      </c>
      <c r="S14" s="25">
        <f t="shared" si="1"/>
        <v>3500</v>
      </c>
      <c r="T14" s="21"/>
      <c r="U14" s="9"/>
      <c r="V14" s="30">
        <f t="shared" ref="V14" si="3">SUM(T14:U14)</f>
        <v>0</v>
      </c>
      <c r="W14" s="53">
        <f t="shared" si="0"/>
        <v>279114</v>
      </c>
    </row>
    <row r="15" spans="1:26" ht="16.5" thickBot="1">
      <c r="A15" s="42" t="s">
        <v>20</v>
      </c>
      <c r="B15" s="32">
        <f>SUM(B3:B14)</f>
        <v>2482300</v>
      </c>
      <c r="C15" s="32">
        <f>SUM(C3:C14)</f>
        <v>3933489</v>
      </c>
      <c r="D15" s="32">
        <f t="shared" ref="D15:S15" si="4">SUM(D3:D14)</f>
        <v>0</v>
      </c>
      <c r="E15" s="32">
        <f t="shared" si="4"/>
        <v>18000</v>
      </c>
      <c r="F15" s="32">
        <f t="shared" si="4"/>
        <v>2500</v>
      </c>
      <c r="G15" s="32">
        <f t="shared" si="4"/>
        <v>26000</v>
      </c>
      <c r="H15" s="32">
        <f t="shared" si="4"/>
        <v>4657</v>
      </c>
      <c r="I15" s="32">
        <f t="shared" si="4"/>
        <v>0</v>
      </c>
      <c r="J15" s="32">
        <f t="shared" si="4"/>
        <v>83144</v>
      </c>
      <c r="K15" s="32">
        <f t="shared" si="4"/>
        <v>0</v>
      </c>
      <c r="L15" s="32">
        <f t="shared" si="4"/>
        <v>45185</v>
      </c>
      <c r="M15" s="32">
        <f t="shared" si="4"/>
        <v>382164</v>
      </c>
      <c r="N15" s="32">
        <f t="shared" si="4"/>
        <v>6977439</v>
      </c>
      <c r="O15" s="32">
        <f t="shared" si="4"/>
        <v>0</v>
      </c>
      <c r="P15" s="32">
        <f t="shared" si="4"/>
        <v>16000</v>
      </c>
      <c r="Q15" s="32">
        <f t="shared" si="4"/>
        <v>3000</v>
      </c>
      <c r="R15" s="32">
        <f t="shared" si="4"/>
        <v>374850</v>
      </c>
      <c r="S15" s="32">
        <f t="shared" si="4"/>
        <v>393850</v>
      </c>
      <c r="T15" s="56">
        <f>SUM(T3:T14)</f>
        <v>0</v>
      </c>
      <c r="U15" s="57">
        <f>SUM(U3:U14)</f>
        <v>0</v>
      </c>
      <c r="V15" s="39">
        <f>SUM(T15:U15)</f>
        <v>0</v>
      </c>
      <c r="W15" s="53">
        <f t="shared" si="0"/>
        <v>7371289</v>
      </c>
    </row>
  </sheetData>
  <mergeCells count="4">
    <mergeCell ref="A1:C1"/>
    <mergeCell ref="D1:L1"/>
    <mergeCell ref="O1:S1"/>
    <mergeCell ref="T1:V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3"/>
  <sheetViews>
    <sheetView workbookViewId="0">
      <selection activeCell="B5" sqref="B5"/>
    </sheetView>
  </sheetViews>
  <sheetFormatPr defaultRowHeight="15"/>
  <cols>
    <col min="2" max="2" width="9.5703125" customWidth="1"/>
    <col min="16" max="16" width="12.7109375" bestFit="1" customWidth="1"/>
    <col min="17" max="17" width="12.7109375" customWidth="1"/>
    <col min="18" max="18" width="10.5703125" bestFit="1" customWidth="1"/>
    <col min="23" max="23" width="12.28515625" bestFit="1" customWidth="1"/>
  </cols>
  <sheetData>
    <row r="1" spans="1:27" ht="15.75" thickBot="1">
      <c r="A1" s="172" t="s">
        <v>83</v>
      </c>
      <c r="B1" s="173"/>
      <c r="C1" s="173"/>
      <c r="D1" s="173" t="s">
        <v>82</v>
      </c>
      <c r="E1" s="173"/>
      <c r="F1" s="173"/>
      <c r="G1" s="173"/>
      <c r="H1" s="173"/>
      <c r="I1" s="173"/>
      <c r="J1" s="173"/>
      <c r="K1" s="173"/>
      <c r="L1" s="173"/>
      <c r="M1" s="90"/>
      <c r="N1" s="48"/>
      <c r="O1" s="174" t="s">
        <v>86</v>
      </c>
      <c r="P1" s="175"/>
      <c r="Q1" s="175"/>
      <c r="R1" s="175"/>
      <c r="S1" s="176"/>
      <c r="T1" s="177" t="s">
        <v>87</v>
      </c>
      <c r="U1" s="178"/>
      <c r="V1" s="179"/>
      <c r="W1" s="34"/>
      <c r="X1" t="s">
        <v>117</v>
      </c>
      <c r="Y1" t="s">
        <v>121</v>
      </c>
      <c r="Z1" t="s">
        <v>122</v>
      </c>
    </row>
    <row r="2" spans="1:27" ht="15.75" thickBot="1">
      <c r="A2" s="47"/>
      <c r="B2" s="38" t="s">
        <v>71</v>
      </c>
      <c r="C2" s="38" t="s">
        <v>72</v>
      </c>
      <c r="D2" s="38" t="s">
        <v>152</v>
      </c>
      <c r="E2" s="38" t="s">
        <v>78</v>
      </c>
      <c r="F2" s="38" t="s">
        <v>76</v>
      </c>
      <c r="G2" s="38" t="s">
        <v>79</v>
      </c>
      <c r="H2" s="38" t="s">
        <v>153</v>
      </c>
      <c r="I2" s="38" t="s">
        <v>80</v>
      </c>
      <c r="J2" s="38" t="s">
        <v>154</v>
      </c>
      <c r="K2" s="38" t="s">
        <v>155</v>
      </c>
      <c r="L2" s="38" t="s">
        <v>59</v>
      </c>
      <c r="M2" s="25" t="s">
        <v>156</v>
      </c>
      <c r="N2" s="31" t="s">
        <v>20</v>
      </c>
      <c r="O2" s="49" t="s">
        <v>74</v>
      </c>
      <c r="P2" s="38" t="s">
        <v>75</v>
      </c>
      <c r="Q2" s="73" t="s">
        <v>127</v>
      </c>
      <c r="R2" s="50" t="s">
        <v>73</v>
      </c>
      <c r="S2" s="25" t="s">
        <v>20</v>
      </c>
      <c r="T2" s="55" t="s">
        <v>77</v>
      </c>
      <c r="U2" s="11" t="s">
        <v>78</v>
      </c>
      <c r="V2" s="29" t="s">
        <v>20</v>
      </c>
      <c r="W2" s="52" t="s">
        <v>81</v>
      </c>
    </row>
    <row r="3" spans="1:27" ht="15.75">
      <c r="A3" s="19" t="s">
        <v>36</v>
      </c>
      <c r="B3" s="20">
        <v>204100</v>
      </c>
      <c r="C3" s="20">
        <v>131570</v>
      </c>
      <c r="D3" s="20">
        <v>1500</v>
      </c>
      <c r="E3" s="20"/>
      <c r="F3" s="20">
        <v>1500</v>
      </c>
      <c r="G3" s="20">
        <v>2810</v>
      </c>
      <c r="H3" s="20"/>
      <c r="I3" s="20">
        <f>452</f>
        <v>452</v>
      </c>
      <c r="J3" s="20">
        <f>452</f>
        <v>452</v>
      </c>
      <c r="K3" s="3"/>
      <c r="L3" s="3"/>
      <c r="M3" s="3"/>
      <c r="N3" s="43">
        <f t="shared" ref="N3:N14" si="0">SUM(B3:J3)</f>
        <v>342384</v>
      </c>
      <c r="O3" s="19"/>
      <c r="P3" s="20">
        <v>3000</v>
      </c>
      <c r="Q3" s="20"/>
      <c r="R3" s="20">
        <v>4200</v>
      </c>
      <c r="S3" s="43">
        <f>SUM(O3:R3)</f>
        <v>7200</v>
      </c>
      <c r="T3" s="21">
        <v>0</v>
      </c>
      <c r="U3" s="9">
        <v>0</v>
      </c>
      <c r="V3" s="58">
        <f>SUM(T3:U3)</f>
        <v>0</v>
      </c>
      <c r="W3" s="53">
        <f>N3+S3+V3</f>
        <v>349584</v>
      </c>
      <c r="X3" s="14">
        <v>3500</v>
      </c>
    </row>
    <row r="4" spans="1:27" ht="15.75">
      <c r="A4" s="21" t="s">
        <v>37</v>
      </c>
      <c r="B4" s="3">
        <v>944300</v>
      </c>
      <c r="C4" s="3">
        <v>190602</v>
      </c>
      <c r="D4" s="3">
        <v>500</v>
      </c>
      <c r="E4" s="3"/>
      <c r="F4" s="3">
        <v>500</v>
      </c>
      <c r="G4" s="3">
        <v>1900</v>
      </c>
      <c r="H4" s="3"/>
      <c r="I4" s="3">
        <v>1517</v>
      </c>
      <c r="J4" s="3">
        <v>1517</v>
      </c>
      <c r="K4" s="3"/>
      <c r="L4" s="3"/>
      <c r="M4" s="3"/>
      <c r="N4" s="41">
        <f t="shared" si="0"/>
        <v>1140836</v>
      </c>
      <c r="O4" s="21"/>
      <c r="P4" s="3">
        <v>1000</v>
      </c>
      <c r="Q4" s="3"/>
      <c r="R4" s="3">
        <v>186667</v>
      </c>
      <c r="S4" s="40">
        <f t="shared" ref="S4:S15" si="1">SUM(O4:R4)</f>
        <v>187667</v>
      </c>
      <c r="T4" s="21"/>
      <c r="U4" s="9">
        <v>2000</v>
      </c>
      <c r="V4" s="30">
        <f>SUM(T4:U4)</f>
        <v>2000</v>
      </c>
      <c r="W4" s="53">
        <f t="shared" ref="W4:W15" si="2">N4+S4+V4</f>
        <v>1330503</v>
      </c>
      <c r="X4">
        <v>3150</v>
      </c>
      <c r="Z4">
        <v>9</v>
      </c>
    </row>
    <row r="5" spans="1:27" ht="15.75">
      <c r="A5" s="21" t="s">
        <v>56</v>
      </c>
      <c r="B5" s="3">
        <v>464050</v>
      </c>
      <c r="C5" s="3">
        <v>479078</v>
      </c>
      <c r="D5" s="3">
        <v>0</v>
      </c>
      <c r="E5" s="3"/>
      <c r="F5" s="3">
        <v>0</v>
      </c>
      <c r="G5" s="3">
        <v>1000</v>
      </c>
      <c r="H5" s="3"/>
      <c r="I5" s="3">
        <f>750+904</f>
        <v>1654</v>
      </c>
      <c r="J5" s="3">
        <f>750+904</f>
        <v>1654</v>
      </c>
      <c r="K5" s="3"/>
      <c r="L5" s="3"/>
      <c r="M5" s="3"/>
      <c r="N5" s="41">
        <f t="shared" si="0"/>
        <v>947436</v>
      </c>
      <c r="O5" s="21"/>
      <c r="P5" s="3">
        <v>0</v>
      </c>
      <c r="Q5" s="3"/>
      <c r="R5" s="3">
        <v>140000</v>
      </c>
      <c r="S5" s="40">
        <f t="shared" si="1"/>
        <v>140000</v>
      </c>
      <c r="T5" s="21"/>
      <c r="U5" s="9">
        <v>1000</v>
      </c>
      <c r="V5" s="30"/>
      <c r="W5" s="53">
        <f t="shared" si="2"/>
        <v>1087436</v>
      </c>
      <c r="X5">
        <v>4130</v>
      </c>
      <c r="Y5">
        <v>13950</v>
      </c>
    </row>
    <row r="6" spans="1:27" ht="15.75">
      <c r="A6" s="21" t="s">
        <v>39</v>
      </c>
      <c r="B6" s="3">
        <v>88550</v>
      </c>
      <c r="C6" s="3">
        <v>447138</v>
      </c>
      <c r="D6" s="3">
        <v>0</v>
      </c>
      <c r="E6" s="3"/>
      <c r="F6" s="3">
        <v>0</v>
      </c>
      <c r="G6" s="3">
        <v>1650</v>
      </c>
      <c r="H6" s="3"/>
      <c r="I6" s="3">
        <v>0</v>
      </c>
      <c r="J6" s="3">
        <v>0</v>
      </c>
      <c r="K6" s="3"/>
      <c r="L6" s="3"/>
      <c r="M6" s="3"/>
      <c r="N6" s="41">
        <f t="shared" si="0"/>
        <v>537338</v>
      </c>
      <c r="O6" s="21"/>
      <c r="P6" s="3">
        <v>0</v>
      </c>
      <c r="Q6" s="3"/>
      <c r="R6" s="3">
        <v>105000</v>
      </c>
      <c r="S6" s="40">
        <f t="shared" si="1"/>
        <v>105000</v>
      </c>
      <c r="T6" s="21"/>
      <c r="U6" s="9">
        <v>1000</v>
      </c>
      <c r="V6" s="30">
        <f t="shared" ref="V6:V14" si="3">SUM(T6:U6)</f>
        <v>1000</v>
      </c>
      <c r="W6" s="53">
        <f t="shared" si="2"/>
        <v>643338</v>
      </c>
      <c r="X6">
        <v>4025</v>
      </c>
      <c r="Y6">
        <v>33991</v>
      </c>
      <c r="Z6">
        <v>144</v>
      </c>
    </row>
    <row r="7" spans="1:27" ht="15.75">
      <c r="A7" s="21" t="s">
        <v>40</v>
      </c>
      <c r="B7" s="3">
        <v>184900</v>
      </c>
      <c r="C7" s="3">
        <v>453007</v>
      </c>
      <c r="D7" s="3">
        <v>1500</v>
      </c>
      <c r="E7" s="3"/>
      <c r="F7" s="3">
        <v>1500</v>
      </c>
      <c r="G7" s="3">
        <v>4950</v>
      </c>
      <c r="H7" s="3"/>
      <c r="I7" s="3">
        <v>791</v>
      </c>
      <c r="J7" s="3">
        <v>791</v>
      </c>
      <c r="K7" s="3"/>
      <c r="L7" s="3"/>
      <c r="M7" s="3"/>
      <c r="N7" s="41">
        <f t="shared" si="0"/>
        <v>647439</v>
      </c>
      <c r="O7" s="21"/>
      <c r="P7" s="3">
        <v>3000</v>
      </c>
      <c r="Q7" s="3"/>
      <c r="R7" s="3">
        <v>10500</v>
      </c>
      <c r="S7" s="40">
        <f t="shared" si="1"/>
        <v>13500</v>
      </c>
      <c r="T7" s="21"/>
      <c r="U7" s="9">
        <v>1000</v>
      </c>
      <c r="V7" s="30"/>
      <c r="W7" s="53">
        <f t="shared" si="2"/>
        <v>660939</v>
      </c>
      <c r="X7">
        <v>4270</v>
      </c>
      <c r="Y7">
        <v>65136</v>
      </c>
      <c r="Z7">
        <v>15000</v>
      </c>
      <c r="AA7" t="s">
        <v>123</v>
      </c>
    </row>
    <row r="8" spans="1:27" ht="15.75">
      <c r="A8" s="21" t="s">
        <v>42</v>
      </c>
      <c r="B8" s="3">
        <v>55500</v>
      </c>
      <c r="C8" s="3">
        <v>332264</v>
      </c>
      <c r="D8" s="3">
        <v>500</v>
      </c>
      <c r="E8" s="3"/>
      <c r="F8" s="3">
        <v>500</v>
      </c>
      <c r="G8" s="3"/>
      <c r="H8" s="3"/>
      <c r="I8" s="3">
        <v>1850</v>
      </c>
      <c r="J8" s="3">
        <v>1850</v>
      </c>
      <c r="K8" s="3"/>
      <c r="L8" s="3"/>
      <c r="M8" s="3"/>
      <c r="N8" s="41">
        <f t="shared" si="0"/>
        <v>392464</v>
      </c>
      <c r="O8" s="21"/>
      <c r="P8" s="3">
        <v>0</v>
      </c>
      <c r="Q8" s="3"/>
      <c r="R8" s="3">
        <v>0</v>
      </c>
      <c r="S8" s="40">
        <f t="shared" si="1"/>
        <v>0</v>
      </c>
      <c r="T8" s="21"/>
      <c r="U8" s="9">
        <v>0</v>
      </c>
      <c r="V8" s="30"/>
      <c r="W8" s="53">
        <f t="shared" si="2"/>
        <v>392464</v>
      </c>
      <c r="X8">
        <v>4305</v>
      </c>
      <c r="Y8">
        <v>57144</v>
      </c>
      <c r="Z8">
        <v>3000</v>
      </c>
      <c r="AA8" t="s">
        <v>124</v>
      </c>
    </row>
    <row r="9" spans="1:27" ht="15.75">
      <c r="A9" s="21" t="s">
        <v>43</v>
      </c>
      <c r="B9" s="3">
        <v>53600</v>
      </c>
      <c r="C9" s="3">
        <v>321922</v>
      </c>
      <c r="D9" s="3">
        <v>0</v>
      </c>
      <c r="E9" s="3"/>
      <c r="F9" s="3">
        <v>0</v>
      </c>
      <c r="G9" s="3">
        <v>1850</v>
      </c>
      <c r="H9" s="3"/>
      <c r="I9" s="3">
        <v>1404</v>
      </c>
      <c r="J9" s="3">
        <v>1404</v>
      </c>
      <c r="K9" s="3"/>
      <c r="L9" s="3"/>
      <c r="M9" s="3"/>
      <c r="N9" s="41">
        <f t="shared" si="0"/>
        <v>380180</v>
      </c>
      <c r="O9" s="21"/>
      <c r="P9" s="3">
        <v>0</v>
      </c>
      <c r="Q9" s="3"/>
      <c r="R9" s="3">
        <v>3500</v>
      </c>
      <c r="S9" s="40">
        <f t="shared" si="1"/>
        <v>3500</v>
      </c>
      <c r="T9" s="21"/>
      <c r="U9" s="9">
        <v>0</v>
      </c>
      <c r="V9" s="30"/>
      <c r="W9" s="53">
        <f t="shared" si="2"/>
        <v>383680</v>
      </c>
      <c r="X9">
        <v>3675</v>
      </c>
      <c r="Y9">
        <v>13976</v>
      </c>
      <c r="Z9">
        <v>290</v>
      </c>
    </row>
    <row r="10" spans="1:27" ht="15.75">
      <c r="A10" s="21" t="s">
        <v>44</v>
      </c>
      <c r="B10" s="3">
        <v>60900</v>
      </c>
      <c r="C10" s="3">
        <v>251012</v>
      </c>
      <c r="D10" s="3">
        <v>0</v>
      </c>
      <c r="E10" s="3"/>
      <c r="F10" s="3">
        <v>0</v>
      </c>
      <c r="G10" s="3">
        <v>2300</v>
      </c>
      <c r="H10" s="3"/>
      <c r="I10" s="3">
        <v>0</v>
      </c>
      <c r="J10" s="3">
        <v>0</v>
      </c>
      <c r="K10" s="3"/>
      <c r="L10" s="3"/>
      <c r="M10" s="3"/>
      <c r="N10" s="41">
        <f t="shared" si="0"/>
        <v>314212</v>
      </c>
      <c r="O10" s="21">
        <v>7000</v>
      </c>
      <c r="P10" s="3">
        <v>0</v>
      </c>
      <c r="Q10" s="3">
        <v>3000</v>
      </c>
      <c r="R10" s="3"/>
      <c r="S10" s="40">
        <f t="shared" si="1"/>
        <v>10000</v>
      </c>
      <c r="T10" s="21"/>
      <c r="U10" s="9">
        <v>1000</v>
      </c>
      <c r="V10" s="30">
        <f t="shared" si="3"/>
        <v>1000</v>
      </c>
      <c r="W10" s="53">
        <f t="shared" si="2"/>
        <v>325212</v>
      </c>
      <c r="X10">
        <v>3885</v>
      </c>
      <c r="Y10">
        <v>7768</v>
      </c>
    </row>
    <row r="11" spans="1:27" ht="15.75">
      <c r="A11" s="21" t="s">
        <v>45</v>
      </c>
      <c r="B11" s="3">
        <v>29000</v>
      </c>
      <c r="C11" s="3">
        <v>207256</v>
      </c>
      <c r="D11" s="3">
        <v>500</v>
      </c>
      <c r="E11" s="3"/>
      <c r="F11" s="3">
        <v>500</v>
      </c>
      <c r="G11" s="3">
        <v>1350</v>
      </c>
      <c r="H11" s="3"/>
      <c r="I11" s="3">
        <v>0</v>
      </c>
      <c r="J11" s="3">
        <v>0</v>
      </c>
      <c r="K11" s="3"/>
      <c r="L11" s="3"/>
      <c r="M11" s="3"/>
      <c r="N11" s="41">
        <f t="shared" si="0"/>
        <v>238606</v>
      </c>
      <c r="O11" s="21">
        <v>0</v>
      </c>
      <c r="P11" s="3">
        <v>4000</v>
      </c>
      <c r="Q11" s="3">
        <v>1000</v>
      </c>
      <c r="R11" s="3"/>
      <c r="S11" s="40">
        <f t="shared" si="1"/>
        <v>5000</v>
      </c>
      <c r="T11" s="21"/>
      <c r="U11" s="9"/>
      <c r="V11" s="30"/>
      <c r="W11" s="53">
        <f t="shared" si="2"/>
        <v>243606</v>
      </c>
      <c r="X11">
        <v>3745</v>
      </c>
      <c r="Y11">
        <v>832</v>
      </c>
    </row>
    <row r="12" spans="1:27" ht="15.75">
      <c r="A12" s="21" t="s">
        <v>47</v>
      </c>
      <c r="B12" s="3">
        <v>20300</v>
      </c>
      <c r="C12" s="3">
        <v>192841</v>
      </c>
      <c r="D12" s="3">
        <v>0</v>
      </c>
      <c r="E12" s="3"/>
      <c r="F12" s="3">
        <v>0</v>
      </c>
      <c r="G12" s="3">
        <v>950</v>
      </c>
      <c r="H12" s="3"/>
      <c r="I12" s="3">
        <v>500</v>
      </c>
      <c r="J12" s="3">
        <v>500</v>
      </c>
      <c r="K12" s="3"/>
      <c r="L12" s="3"/>
      <c r="M12" s="3"/>
      <c r="N12" s="41">
        <f t="shared" si="0"/>
        <v>215091</v>
      </c>
      <c r="O12" s="21">
        <v>0</v>
      </c>
      <c r="P12" s="3">
        <v>0</v>
      </c>
      <c r="Q12" s="3">
        <v>0</v>
      </c>
      <c r="R12" s="3"/>
      <c r="S12" s="40">
        <f t="shared" si="1"/>
        <v>0</v>
      </c>
      <c r="T12" s="21"/>
      <c r="U12" s="9">
        <v>1000</v>
      </c>
      <c r="V12" s="30">
        <f t="shared" si="3"/>
        <v>1000</v>
      </c>
      <c r="W12" s="53">
        <f t="shared" si="2"/>
        <v>216091</v>
      </c>
      <c r="X12">
        <v>0</v>
      </c>
      <c r="Y12">
        <v>258</v>
      </c>
    </row>
    <row r="13" spans="1:27" ht="15.75">
      <c r="A13" s="21" t="s">
        <v>50</v>
      </c>
      <c r="B13" s="3">
        <v>24650</v>
      </c>
      <c r="C13" s="3">
        <v>235469</v>
      </c>
      <c r="D13" s="3">
        <v>0</v>
      </c>
      <c r="E13" s="3"/>
      <c r="F13" s="3">
        <v>0</v>
      </c>
      <c r="G13" s="3">
        <v>700</v>
      </c>
      <c r="H13" s="3"/>
      <c r="I13" s="3">
        <v>0</v>
      </c>
      <c r="J13" s="3">
        <v>0</v>
      </c>
      <c r="K13" s="3"/>
      <c r="L13" s="3"/>
      <c r="M13" s="3"/>
      <c r="N13" s="41">
        <f t="shared" si="0"/>
        <v>260819</v>
      </c>
      <c r="O13" s="21"/>
      <c r="P13" s="3"/>
      <c r="Q13" s="3"/>
      <c r="R13" s="3"/>
      <c r="S13" s="40">
        <f t="shared" si="1"/>
        <v>0</v>
      </c>
      <c r="T13" s="21"/>
      <c r="U13" s="9">
        <v>3000</v>
      </c>
      <c r="V13" s="30">
        <f t="shared" si="3"/>
        <v>3000</v>
      </c>
      <c r="W13" s="53">
        <f t="shared" si="2"/>
        <v>263819</v>
      </c>
      <c r="X13">
        <v>3605</v>
      </c>
      <c r="Y13">
        <v>0</v>
      </c>
    </row>
    <row r="14" spans="1:27" ht="16.5" thickBot="1">
      <c r="A14" s="22" t="s">
        <v>51</v>
      </c>
      <c r="B14" s="23">
        <v>29000</v>
      </c>
      <c r="C14" s="23">
        <v>195393</v>
      </c>
      <c r="D14" s="23">
        <v>1500</v>
      </c>
      <c r="E14" s="23"/>
      <c r="F14" s="23">
        <v>1500</v>
      </c>
      <c r="G14" s="23">
        <v>300</v>
      </c>
      <c r="H14" s="23"/>
      <c r="I14" s="23">
        <v>0</v>
      </c>
      <c r="J14" s="23">
        <v>0</v>
      </c>
      <c r="K14" s="3"/>
      <c r="L14" s="3"/>
      <c r="M14" s="3"/>
      <c r="N14" s="44">
        <f t="shared" si="0"/>
        <v>227693</v>
      </c>
      <c r="O14" s="21">
        <v>0</v>
      </c>
      <c r="P14" s="3">
        <v>12000</v>
      </c>
      <c r="Q14" s="3">
        <v>3000</v>
      </c>
      <c r="R14" s="3"/>
      <c r="S14" s="25">
        <f t="shared" si="1"/>
        <v>15000</v>
      </c>
      <c r="T14" s="21"/>
      <c r="U14" s="9">
        <v>0</v>
      </c>
      <c r="V14" s="30">
        <f t="shared" si="3"/>
        <v>0</v>
      </c>
      <c r="W14" s="53">
        <f t="shared" si="2"/>
        <v>242693</v>
      </c>
      <c r="X14">
        <v>3640</v>
      </c>
      <c r="Y14">
        <v>0</v>
      </c>
    </row>
    <row r="15" spans="1:27" ht="16.5" thickBot="1">
      <c r="A15" s="42" t="s">
        <v>20</v>
      </c>
      <c r="B15" s="32">
        <f>SUM(B3:B14)</f>
        <v>2158850</v>
      </c>
      <c r="C15" s="32">
        <f>SUM(C3:C14)</f>
        <v>3437552</v>
      </c>
      <c r="D15" s="32">
        <f>SUM(D3:D14)</f>
        <v>6000</v>
      </c>
      <c r="E15" s="32"/>
      <c r="F15" s="32"/>
      <c r="G15" s="32">
        <f>SUM(G3:G14)</f>
        <v>19760</v>
      </c>
      <c r="H15" s="32"/>
      <c r="I15" s="32"/>
      <c r="J15" s="32"/>
      <c r="K15" s="32"/>
      <c r="L15" s="32"/>
      <c r="M15" s="33"/>
      <c r="N15" s="45">
        <f>SUM(B15:L15)</f>
        <v>5622162</v>
      </c>
      <c r="O15" s="46">
        <f>SUM(O3:O14)</f>
        <v>7000</v>
      </c>
      <c r="P15" s="32">
        <f>SUM(P3:P14)</f>
        <v>23000</v>
      </c>
      <c r="Q15" s="33"/>
      <c r="R15" s="33">
        <f>SUM(R3:R14)</f>
        <v>449867</v>
      </c>
      <c r="S15" s="51">
        <f t="shared" si="1"/>
        <v>479867</v>
      </c>
      <c r="T15" s="56">
        <f>SUM(T3:T14)</f>
        <v>0</v>
      </c>
      <c r="U15" s="57">
        <f>SUM(U3:U14)</f>
        <v>10000</v>
      </c>
      <c r="V15" s="39">
        <f>SUM(T15:U15)</f>
        <v>10000</v>
      </c>
      <c r="W15" s="53">
        <f t="shared" si="2"/>
        <v>6112029</v>
      </c>
    </row>
    <row r="17" spans="1:18" ht="15.75" thickBot="1">
      <c r="C17" s="14">
        <f>C15-'FY12-13-Exp'!B14</f>
        <v>64170</v>
      </c>
      <c r="G17">
        <f>C17/12</f>
        <v>5347.5</v>
      </c>
    </row>
    <row r="18" spans="1:18" ht="15.75" thickBot="1">
      <c r="A18" s="35" t="s">
        <v>84</v>
      </c>
      <c r="B18" s="34">
        <f>N15</f>
        <v>5622162</v>
      </c>
    </row>
    <row r="19" spans="1:18" ht="15.75" thickBot="1">
      <c r="A19" s="35" t="s">
        <v>85</v>
      </c>
      <c r="B19" s="36">
        <f>'FY13-14-Exp'!AD15</f>
        <v>5966321</v>
      </c>
    </row>
    <row r="21" spans="1:18" ht="15.75" thickBot="1">
      <c r="R21" s="82">
        <v>64767</v>
      </c>
    </row>
    <row r="22" spans="1:18" ht="15.75" thickBot="1">
      <c r="B22" s="37">
        <f>B18-B19</f>
        <v>-344159</v>
      </c>
      <c r="O22">
        <f>'FY13-14-Exp'!B15-C15</f>
        <v>934570</v>
      </c>
    </row>
    <row r="23" spans="1:18">
      <c r="O23">
        <f>O22/12</f>
        <v>77880.833333333328</v>
      </c>
    </row>
  </sheetData>
  <mergeCells count="4">
    <mergeCell ref="A1:C1"/>
    <mergeCell ref="D1:L1"/>
    <mergeCell ref="O1:S1"/>
    <mergeCell ref="T1:V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46"/>
  <sheetViews>
    <sheetView workbookViewId="0"/>
  </sheetViews>
  <sheetFormatPr defaultRowHeight="15"/>
  <cols>
    <col min="1" max="1" width="11.85546875" customWidth="1"/>
    <col min="2" max="2" width="13.28515625" bestFit="1" customWidth="1"/>
    <col min="3" max="3" width="13.28515625" customWidth="1"/>
    <col min="4" max="4" width="13.28515625" bestFit="1" customWidth="1"/>
    <col min="5" max="8" width="11.5703125" bestFit="1" customWidth="1"/>
    <col min="9" max="9" width="12.42578125" customWidth="1"/>
    <col min="13" max="14" width="10.5703125" bestFit="1" customWidth="1"/>
    <col min="15" max="15" width="10.5703125" customWidth="1"/>
    <col min="16" max="17" width="11.42578125" customWidth="1"/>
    <col min="19" max="19" width="12" bestFit="1" customWidth="1"/>
    <col min="20" max="20" width="7" customWidth="1"/>
    <col min="28" max="28" width="12.28515625" bestFit="1" customWidth="1"/>
  </cols>
  <sheetData>
    <row r="1" spans="1:29" ht="16.5" thickBot="1">
      <c r="A1" s="16" t="s">
        <v>22</v>
      </c>
      <c r="B1" s="75" t="s">
        <v>4</v>
      </c>
      <c r="C1" s="75" t="s">
        <v>89</v>
      </c>
      <c r="D1" s="75" t="s">
        <v>23</v>
      </c>
      <c r="E1" s="59" t="s">
        <v>24</v>
      </c>
      <c r="F1" s="59" t="s">
        <v>136</v>
      </c>
      <c r="G1" s="17" t="s">
        <v>137</v>
      </c>
      <c r="H1" s="59" t="s">
        <v>10</v>
      </c>
      <c r="I1" s="59" t="s">
        <v>150</v>
      </c>
      <c r="J1" s="18" t="s">
        <v>151</v>
      </c>
      <c r="K1" s="17" t="s">
        <v>138</v>
      </c>
      <c r="L1" s="17" t="s">
        <v>139</v>
      </c>
      <c r="M1" s="59" t="s">
        <v>140</v>
      </c>
      <c r="N1" s="17" t="s">
        <v>32</v>
      </c>
      <c r="O1" s="17" t="s">
        <v>147</v>
      </c>
      <c r="P1" s="17" t="s">
        <v>59</v>
      </c>
      <c r="Q1" s="17" t="s">
        <v>146</v>
      </c>
      <c r="R1" s="17" t="s">
        <v>141</v>
      </c>
      <c r="S1" s="17" t="s">
        <v>142</v>
      </c>
      <c r="T1" s="17" t="s">
        <v>143</v>
      </c>
      <c r="U1" s="59" t="s">
        <v>144</v>
      </c>
      <c r="V1" s="17" t="s">
        <v>53</v>
      </c>
      <c r="W1" s="18" t="s">
        <v>145</v>
      </c>
      <c r="X1" s="18" t="s">
        <v>148</v>
      </c>
      <c r="Y1" s="18" t="s">
        <v>68</v>
      </c>
      <c r="Z1" s="18" t="s">
        <v>149</v>
      </c>
      <c r="AA1" s="18" t="s">
        <v>60</v>
      </c>
      <c r="AB1" s="26" t="s">
        <v>20</v>
      </c>
      <c r="AC1" s="18" t="s">
        <v>62</v>
      </c>
    </row>
    <row r="2" spans="1:29" ht="16.5" thickBot="1">
      <c r="A2" s="20"/>
      <c r="B2" s="75"/>
      <c r="C2" s="75"/>
      <c r="D2" s="75"/>
      <c r="E2" s="59"/>
      <c r="F2" s="59"/>
      <c r="G2" s="17"/>
      <c r="H2" s="59"/>
      <c r="I2" s="59"/>
      <c r="J2" s="18"/>
      <c r="K2" s="17"/>
      <c r="L2" s="17"/>
      <c r="M2" s="59"/>
      <c r="N2" s="17"/>
      <c r="O2" s="17"/>
      <c r="P2" s="17"/>
      <c r="Q2" s="17"/>
      <c r="R2" s="17"/>
      <c r="S2" s="17"/>
      <c r="T2" s="17"/>
      <c r="U2" s="59"/>
      <c r="V2" s="17"/>
      <c r="W2" s="18"/>
      <c r="X2" s="18"/>
      <c r="Y2" s="18"/>
      <c r="Z2" s="18"/>
      <c r="AA2" s="18"/>
      <c r="AB2" s="26"/>
      <c r="AC2" s="18"/>
    </row>
    <row r="3" spans="1:29" ht="16.5" thickBot="1">
      <c r="A3" s="19" t="s">
        <v>36</v>
      </c>
      <c r="B3" s="3">
        <v>27200</v>
      </c>
      <c r="C3" s="3">
        <v>26411</v>
      </c>
      <c r="D3" s="3">
        <v>0</v>
      </c>
      <c r="E3" s="20">
        <v>0</v>
      </c>
      <c r="F3" s="20">
        <v>10000</v>
      </c>
      <c r="G3" s="20">
        <v>5106</v>
      </c>
      <c r="H3" s="20">
        <v>320</v>
      </c>
      <c r="I3" s="20">
        <v>618</v>
      </c>
      <c r="J3" s="20">
        <v>460</v>
      </c>
      <c r="K3" s="20">
        <v>0</v>
      </c>
      <c r="L3" s="20">
        <v>0</v>
      </c>
      <c r="M3" s="20">
        <v>508</v>
      </c>
      <c r="N3" s="20">
        <v>0</v>
      </c>
      <c r="O3" s="20"/>
      <c r="P3" s="20">
        <v>3990</v>
      </c>
      <c r="Q3" s="20">
        <v>0</v>
      </c>
      <c r="R3" s="20">
        <v>0</v>
      </c>
      <c r="S3" s="20">
        <v>0</v>
      </c>
      <c r="T3" s="20">
        <v>0</v>
      </c>
      <c r="U3" s="20">
        <v>0</v>
      </c>
      <c r="V3" s="20">
        <v>0</v>
      </c>
      <c r="W3" s="20">
        <v>0</v>
      </c>
      <c r="X3" s="20">
        <v>1000</v>
      </c>
      <c r="Y3" s="20">
        <v>0</v>
      </c>
      <c r="Z3" s="68">
        <v>0</v>
      </c>
      <c r="AA3" s="68">
        <v>15000</v>
      </c>
      <c r="AB3" s="27">
        <f>SUM(B3:AA3)</f>
        <v>90613</v>
      </c>
      <c r="AC3" s="20"/>
    </row>
    <row r="4" spans="1:29" ht="16.5" thickBot="1">
      <c r="A4" s="21" t="s">
        <v>37</v>
      </c>
      <c r="B4" s="3"/>
      <c r="C4" s="3"/>
      <c r="D4" s="3"/>
      <c r="E4" s="20"/>
      <c r="F4" s="3"/>
      <c r="G4" s="3"/>
      <c r="H4" s="3"/>
      <c r="I4" s="3"/>
      <c r="J4" s="3"/>
      <c r="K4" s="3"/>
      <c r="L4" s="3"/>
      <c r="M4" s="3"/>
      <c r="N4" s="3"/>
      <c r="O4" s="3"/>
      <c r="P4" s="3"/>
      <c r="Q4" s="3"/>
      <c r="R4" s="3"/>
      <c r="S4" s="3"/>
      <c r="T4" s="3"/>
      <c r="U4" s="3"/>
      <c r="V4" s="3"/>
      <c r="W4" s="3"/>
      <c r="X4" s="3"/>
      <c r="Y4" s="3"/>
      <c r="Z4" s="69"/>
      <c r="AA4" s="69"/>
      <c r="AB4" s="27"/>
      <c r="AC4" s="3"/>
    </row>
    <row r="5" spans="1:29" ht="16.5" thickBot="1">
      <c r="A5" s="21" t="s">
        <v>56</v>
      </c>
      <c r="B5" s="3"/>
      <c r="C5" s="3"/>
      <c r="D5" s="3"/>
      <c r="E5" s="20"/>
      <c r="F5" s="3"/>
      <c r="G5" s="3"/>
      <c r="H5" s="3"/>
      <c r="I5" s="3"/>
      <c r="J5" s="3"/>
      <c r="K5" s="3"/>
      <c r="L5" s="3"/>
      <c r="M5" s="3"/>
      <c r="N5" s="3"/>
      <c r="O5" s="3"/>
      <c r="P5" s="3"/>
      <c r="Q5" s="3"/>
      <c r="R5" s="3"/>
      <c r="S5" s="3"/>
      <c r="T5" s="3"/>
      <c r="U5" s="3"/>
      <c r="V5" s="3"/>
      <c r="W5" s="3"/>
      <c r="X5" s="3"/>
      <c r="Y5" s="3"/>
      <c r="Z5" s="69"/>
      <c r="AA5" s="69"/>
      <c r="AB5" s="27"/>
      <c r="AC5" s="3"/>
    </row>
    <row r="6" spans="1:29" ht="16.5" thickBot="1">
      <c r="A6" s="21" t="s">
        <v>39</v>
      </c>
      <c r="B6" s="3"/>
      <c r="C6" s="3"/>
      <c r="D6" s="3"/>
      <c r="E6" s="20"/>
      <c r="F6" s="3"/>
      <c r="G6" s="3"/>
      <c r="H6" s="3"/>
      <c r="I6" s="3"/>
      <c r="J6" s="3"/>
      <c r="K6" s="3"/>
      <c r="L6" s="3"/>
      <c r="M6" s="3"/>
      <c r="N6" s="3"/>
      <c r="O6" s="3"/>
      <c r="P6" s="3"/>
      <c r="Q6" s="3"/>
      <c r="R6" s="3"/>
      <c r="S6" s="3"/>
      <c r="T6" s="3"/>
      <c r="U6" s="3"/>
      <c r="V6" s="3"/>
      <c r="W6" s="3"/>
      <c r="X6" s="3"/>
      <c r="Y6" s="3"/>
      <c r="Z6" s="69"/>
      <c r="AA6" s="69"/>
      <c r="AB6" s="27"/>
      <c r="AC6" s="3"/>
    </row>
    <row r="7" spans="1:29" ht="16.5" thickBot="1">
      <c r="A7" s="21" t="s">
        <v>40</v>
      </c>
      <c r="B7" s="3"/>
      <c r="C7" s="3"/>
      <c r="D7" s="3"/>
      <c r="E7" s="20"/>
      <c r="F7" s="3"/>
      <c r="G7" s="3"/>
      <c r="H7" s="3"/>
      <c r="I7" s="3"/>
      <c r="J7" s="3"/>
      <c r="K7" s="3"/>
      <c r="L7" s="3"/>
      <c r="M7" s="3"/>
      <c r="N7" s="3"/>
      <c r="O7" s="3"/>
      <c r="P7" s="3"/>
      <c r="Q7" s="3"/>
      <c r="R7" s="3"/>
      <c r="S7" s="3"/>
      <c r="T7" s="3"/>
      <c r="U7" s="3"/>
      <c r="V7" s="3"/>
      <c r="W7" s="3"/>
      <c r="X7" s="3"/>
      <c r="Y7" s="3"/>
      <c r="Z7" s="69"/>
      <c r="AA7" s="69"/>
      <c r="AB7" s="27"/>
      <c r="AC7" s="3"/>
    </row>
    <row r="8" spans="1:29" ht="16.5" thickBot="1">
      <c r="A8" s="21" t="s">
        <v>42</v>
      </c>
      <c r="B8" s="3"/>
      <c r="C8" s="3"/>
      <c r="D8" s="3"/>
      <c r="E8" s="20"/>
      <c r="F8" s="3"/>
      <c r="G8" s="3"/>
      <c r="H8" s="3"/>
      <c r="I8" s="3"/>
      <c r="J8" s="3"/>
      <c r="K8" s="3"/>
      <c r="L8" s="3"/>
      <c r="M8" s="3"/>
      <c r="N8" s="3"/>
      <c r="O8" s="3"/>
      <c r="P8" s="3"/>
      <c r="Q8" s="3"/>
      <c r="R8" s="3"/>
      <c r="S8" s="3"/>
      <c r="T8" s="3"/>
      <c r="U8" s="3"/>
      <c r="V8" s="3"/>
      <c r="W8" s="3"/>
      <c r="X8" s="3"/>
      <c r="Y8" s="3"/>
      <c r="Z8" s="69"/>
      <c r="AA8" s="69"/>
      <c r="AB8" s="27"/>
      <c r="AC8" s="3"/>
    </row>
    <row r="9" spans="1:29" ht="16.5" thickBot="1">
      <c r="A9" s="21" t="s">
        <v>43</v>
      </c>
      <c r="B9" s="3"/>
      <c r="C9" s="3"/>
      <c r="D9" s="3"/>
      <c r="E9" s="20"/>
      <c r="F9" s="3"/>
      <c r="G9" s="3"/>
      <c r="H9" s="3"/>
      <c r="I9" s="3"/>
      <c r="J9" s="3"/>
      <c r="K9" s="3"/>
      <c r="L9" s="3"/>
      <c r="M9" s="3"/>
      <c r="N9" s="3"/>
      <c r="O9" s="3"/>
      <c r="P9" s="3"/>
      <c r="Q9" s="3"/>
      <c r="R9" s="3"/>
      <c r="S9" s="3"/>
      <c r="T9" s="3"/>
      <c r="U9" s="3"/>
      <c r="V9" s="3"/>
      <c r="W9" s="3"/>
      <c r="X9" s="3"/>
      <c r="Y9" s="3"/>
      <c r="Z9" s="69"/>
      <c r="AA9" s="69"/>
      <c r="AB9" s="27"/>
      <c r="AC9" s="3"/>
    </row>
    <row r="10" spans="1:29" ht="16.5" thickBot="1">
      <c r="A10" s="21" t="s">
        <v>44</v>
      </c>
      <c r="B10" s="3"/>
      <c r="C10" s="3"/>
      <c r="D10" s="3"/>
      <c r="E10" s="20"/>
      <c r="F10" s="3"/>
      <c r="G10" s="3"/>
      <c r="H10" s="3"/>
      <c r="I10" s="3"/>
      <c r="J10" s="3"/>
      <c r="K10" s="3"/>
      <c r="L10" s="3"/>
      <c r="M10" s="3"/>
      <c r="N10" s="3"/>
      <c r="O10" s="3"/>
      <c r="P10" s="3"/>
      <c r="Q10" s="3"/>
      <c r="R10" s="3"/>
      <c r="S10" s="3"/>
      <c r="T10" s="3"/>
      <c r="U10" s="3"/>
      <c r="V10" s="3"/>
      <c r="W10" s="3"/>
      <c r="X10" s="3"/>
      <c r="Y10" s="3"/>
      <c r="Z10" s="69"/>
      <c r="AA10" s="69"/>
      <c r="AB10" s="27"/>
      <c r="AC10" s="3"/>
    </row>
    <row r="11" spans="1:29" ht="16.5" thickBot="1">
      <c r="A11" s="21" t="s">
        <v>45</v>
      </c>
      <c r="B11" s="74"/>
      <c r="C11" s="74"/>
      <c r="D11" s="74"/>
      <c r="E11" s="20"/>
      <c r="F11" s="3"/>
      <c r="G11" s="3"/>
      <c r="H11" s="3"/>
      <c r="I11" s="3"/>
      <c r="J11" s="3"/>
      <c r="K11" s="3"/>
      <c r="L11" s="3"/>
      <c r="M11" s="3"/>
      <c r="N11" s="3"/>
      <c r="O11" s="3"/>
      <c r="P11" s="3"/>
      <c r="Q11" s="3"/>
      <c r="R11" s="3"/>
      <c r="S11" s="3"/>
      <c r="T11" s="3"/>
      <c r="U11" s="3"/>
      <c r="V11" s="3"/>
      <c r="W11" s="3"/>
      <c r="X11" s="3"/>
      <c r="Y11" s="3"/>
      <c r="Z11" s="69"/>
      <c r="AA11" s="69"/>
      <c r="AB11" s="27"/>
      <c r="AC11" s="3"/>
    </row>
    <row r="12" spans="1:29" ht="16.5" thickBot="1">
      <c r="A12" s="21" t="s">
        <v>47</v>
      </c>
      <c r="B12" s="3"/>
      <c r="C12" s="3"/>
      <c r="D12" s="3"/>
      <c r="E12" s="20"/>
      <c r="F12" s="3"/>
      <c r="G12" s="3"/>
      <c r="H12" s="3"/>
      <c r="I12" s="3"/>
      <c r="J12" s="3"/>
      <c r="K12" s="3"/>
      <c r="L12" s="3"/>
      <c r="M12" s="3"/>
      <c r="N12" s="3"/>
      <c r="O12" s="3"/>
      <c r="P12" s="3"/>
      <c r="Q12" s="3"/>
      <c r="R12" s="3"/>
      <c r="S12" s="3"/>
      <c r="T12" s="3"/>
      <c r="U12" s="3"/>
      <c r="V12" s="3"/>
      <c r="W12" s="3"/>
      <c r="X12" s="3"/>
      <c r="Y12" s="3"/>
      <c r="Z12" s="69"/>
      <c r="AA12" s="69"/>
      <c r="AB12" s="27"/>
      <c r="AC12" s="3"/>
    </row>
    <row r="13" spans="1:29" ht="16.5" thickBot="1">
      <c r="A13" s="21" t="s">
        <v>50</v>
      </c>
      <c r="B13" s="3"/>
      <c r="C13" s="3"/>
      <c r="D13" s="3"/>
      <c r="E13" s="20"/>
      <c r="F13" s="3"/>
      <c r="G13" s="3"/>
      <c r="H13" s="3"/>
      <c r="I13" s="3"/>
      <c r="J13" s="3"/>
      <c r="K13" s="3"/>
      <c r="L13" s="3"/>
      <c r="M13" s="3"/>
      <c r="N13" s="3"/>
      <c r="O13" s="3"/>
      <c r="P13" s="3"/>
      <c r="Q13" s="3"/>
      <c r="R13" s="3"/>
      <c r="S13" s="3"/>
      <c r="T13" s="3"/>
      <c r="U13" s="3"/>
      <c r="V13" s="3"/>
      <c r="W13" s="3"/>
      <c r="X13" s="3"/>
      <c r="Y13" s="3"/>
      <c r="Z13" s="69"/>
      <c r="AA13" s="69"/>
      <c r="AB13" s="27"/>
      <c r="AC13" s="3"/>
    </row>
    <row r="14" spans="1:29" ht="16.5" thickBot="1">
      <c r="A14" s="21" t="s">
        <v>51</v>
      </c>
      <c r="B14" s="24"/>
      <c r="C14" s="24"/>
      <c r="D14" s="24"/>
      <c r="E14" s="20"/>
      <c r="F14" s="24"/>
      <c r="G14" s="24"/>
      <c r="H14" s="24"/>
      <c r="I14" s="24"/>
      <c r="J14" s="24"/>
      <c r="K14" s="24"/>
      <c r="L14" s="24"/>
      <c r="M14" s="24"/>
      <c r="N14" s="24"/>
      <c r="O14" s="24"/>
      <c r="P14" s="24"/>
      <c r="Q14" s="24"/>
      <c r="R14" s="24"/>
      <c r="S14" s="24"/>
      <c r="T14" s="24"/>
      <c r="U14" s="24"/>
      <c r="V14" s="24"/>
      <c r="W14" s="24"/>
      <c r="X14" s="24"/>
      <c r="Y14" s="24"/>
      <c r="Z14" s="70"/>
      <c r="AA14" s="70"/>
      <c r="AB14" s="27"/>
      <c r="AC14" s="24"/>
    </row>
    <row r="15" spans="1:29" ht="19.5" thickBot="1">
      <c r="B15" s="59">
        <f>SUM(B3:B14)+38995</f>
        <v>66195</v>
      </c>
      <c r="C15" s="59"/>
      <c r="D15" s="59">
        <f>SUM(D3:D14)+38995</f>
        <v>38995</v>
      </c>
      <c r="E15" s="17" t="e">
        <f>SUM(E3:E14)+#REF!</f>
        <v>#REF!</v>
      </c>
      <c r="F15" s="75">
        <f>SUM(F3:F14)</f>
        <v>10000</v>
      </c>
      <c r="G15" s="17" t="e">
        <f>SUM(G3:G14)+#REF!</f>
        <v>#REF!</v>
      </c>
      <c r="H15" s="17">
        <f>SUM(H3:H14)+R15+10519</f>
        <v>10839</v>
      </c>
      <c r="I15" s="17">
        <f t="shared" ref="I15:AB15" si="0">SUM(I3:I14)</f>
        <v>618</v>
      </c>
      <c r="J15" s="17">
        <f t="shared" si="0"/>
        <v>460</v>
      </c>
      <c r="K15" s="17">
        <f t="shared" si="0"/>
        <v>0</v>
      </c>
      <c r="L15" s="17">
        <f t="shared" si="0"/>
        <v>0</v>
      </c>
      <c r="M15" s="59">
        <f t="shared" si="0"/>
        <v>508</v>
      </c>
      <c r="N15" s="17">
        <f t="shared" si="0"/>
        <v>0</v>
      </c>
      <c r="O15" s="17"/>
      <c r="P15" s="59">
        <f t="shared" si="0"/>
        <v>3990</v>
      </c>
      <c r="Q15" s="59"/>
      <c r="R15" s="15">
        <f t="shared" si="0"/>
        <v>0</v>
      </c>
      <c r="S15" s="15">
        <f t="shared" si="0"/>
        <v>0</v>
      </c>
      <c r="T15" s="15">
        <f t="shared" si="0"/>
        <v>0</v>
      </c>
      <c r="U15" s="15">
        <f t="shared" si="0"/>
        <v>0</v>
      </c>
      <c r="V15" s="17">
        <f t="shared" si="0"/>
        <v>0</v>
      </c>
      <c r="W15" s="17">
        <f t="shared" si="0"/>
        <v>0</v>
      </c>
      <c r="X15" s="17"/>
      <c r="Y15" s="15">
        <f t="shared" si="0"/>
        <v>0</v>
      </c>
      <c r="Z15" s="71"/>
      <c r="AA15" s="71"/>
      <c r="AB15" s="28">
        <f t="shared" si="0"/>
        <v>90613</v>
      </c>
      <c r="AC15" s="15">
        <f>SUM(AC3:AC14)</f>
        <v>0</v>
      </c>
    </row>
    <row r="16" spans="1:29" ht="15.75" thickBot="1">
      <c r="B16" s="2" t="s">
        <v>2</v>
      </c>
      <c r="C16" s="2"/>
      <c r="D16" s="2" t="s">
        <v>2</v>
      </c>
      <c r="E16" s="2" t="s">
        <v>89</v>
      </c>
      <c r="F16" s="2" t="s">
        <v>97</v>
      </c>
      <c r="G16" s="2" t="s">
        <v>24</v>
      </c>
      <c r="H16" s="2" t="s">
        <v>103</v>
      </c>
      <c r="I16" s="2" t="s">
        <v>90</v>
      </c>
      <c r="J16" s="2" t="s">
        <v>98</v>
      </c>
      <c r="K16" s="2" t="s">
        <v>96</v>
      </c>
      <c r="L16" s="2" t="s">
        <v>94</v>
      </c>
      <c r="M16" s="2" t="s">
        <v>99</v>
      </c>
      <c r="N16" s="2" t="s">
        <v>132</v>
      </c>
      <c r="O16" s="2"/>
      <c r="P16" s="2" t="s">
        <v>91</v>
      </c>
      <c r="Q16" s="25"/>
      <c r="U16" t="s">
        <v>93</v>
      </c>
      <c r="V16" s="2" t="s">
        <v>100</v>
      </c>
      <c r="W16" s="3"/>
      <c r="X16" s="72"/>
    </row>
    <row r="17" spans="1:32" ht="21.75" thickBot="1">
      <c r="A17" s="2" t="s">
        <v>53</v>
      </c>
      <c r="B17" s="83"/>
      <c r="C17" s="83"/>
      <c r="D17" s="83"/>
      <c r="E17" s="83"/>
      <c r="F17" s="76"/>
      <c r="G17" s="76"/>
      <c r="H17" s="83"/>
      <c r="I17" s="83"/>
      <c r="J17" s="3"/>
      <c r="K17" s="3"/>
      <c r="L17" s="7"/>
      <c r="M17" s="86"/>
      <c r="N17" s="83"/>
      <c r="O17" s="83"/>
      <c r="P17" s="86"/>
      <c r="Q17" s="86"/>
      <c r="R17" s="3"/>
      <c r="S17" s="3"/>
      <c r="T17" s="3"/>
      <c r="U17" s="3"/>
      <c r="V17" s="3"/>
      <c r="W17" s="3"/>
      <c r="X17" s="3"/>
      <c r="Y17" s="3"/>
      <c r="Z17" s="72"/>
      <c r="AA17" s="72"/>
      <c r="AB17" s="61"/>
      <c r="AF17">
        <f>AB17+AC17+AD17+AE17</f>
        <v>0</v>
      </c>
    </row>
    <row r="19" spans="1:32">
      <c r="A19" s="14" t="s">
        <v>19</v>
      </c>
      <c r="B19" s="77"/>
      <c r="C19" s="77"/>
      <c r="D19" s="77"/>
      <c r="E19" s="77"/>
      <c r="F19" s="77"/>
      <c r="G19" s="77"/>
      <c r="H19" s="77"/>
      <c r="I19" s="77"/>
      <c r="J19" s="77"/>
      <c r="K19" s="77"/>
      <c r="L19" s="77"/>
      <c r="M19" s="85"/>
      <c r="N19" s="77"/>
      <c r="O19" s="77"/>
      <c r="P19" s="77"/>
      <c r="Q19" s="77"/>
      <c r="R19" s="77"/>
      <c r="S19" s="77"/>
      <c r="T19" s="77"/>
      <c r="U19" s="77"/>
      <c r="V19" s="77">
        <f t="shared" ref="V19" si="1">V15-V17</f>
        <v>0</v>
      </c>
      <c r="W19" s="77">
        <v>0</v>
      </c>
      <c r="X19" s="77"/>
      <c r="Y19" s="77">
        <v>0</v>
      </c>
      <c r="Z19" s="87"/>
      <c r="AA19" s="87"/>
    </row>
    <row r="20" spans="1:32">
      <c r="F20" s="82"/>
    </row>
    <row r="21" spans="1:32">
      <c r="B21" s="72"/>
      <c r="C21" s="72"/>
      <c r="D21" s="72"/>
    </row>
    <row r="22" spans="1:32">
      <c r="B22" s="87"/>
      <c r="C22" s="87"/>
      <c r="D22" s="87"/>
    </row>
    <row r="23" spans="1:32">
      <c r="B23" s="87"/>
      <c r="C23" s="87"/>
      <c r="D23" s="87"/>
    </row>
    <row r="24" spans="1:32">
      <c r="B24" s="87"/>
      <c r="C24" s="87"/>
      <c r="D24" s="87"/>
    </row>
    <row r="25" spans="1:32">
      <c r="B25" s="87"/>
      <c r="C25" s="87"/>
      <c r="D25" s="87"/>
    </row>
    <row r="26" spans="1:32">
      <c r="B26" s="87"/>
      <c r="C26" s="87"/>
      <c r="D26" s="87"/>
    </row>
    <row r="27" spans="1:32">
      <c r="B27" s="87"/>
      <c r="C27" s="87"/>
      <c r="D27" s="87"/>
    </row>
    <row r="28" spans="1:32">
      <c r="B28" s="88"/>
      <c r="C28" s="88"/>
      <c r="D28" s="88"/>
    </row>
    <row r="29" spans="1:32">
      <c r="B29" s="72"/>
      <c r="C29" s="72"/>
      <c r="D29" s="72"/>
    </row>
    <row r="30" spans="1:32">
      <c r="B30" s="14">
        <f>B15-B28</f>
        <v>66195</v>
      </c>
      <c r="C30" s="14"/>
      <c r="D30" s="14">
        <f>D15-D28</f>
        <v>38995</v>
      </c>
      <c r="E30" s="14" t="e">
        <f t="shared" ref="E30:I30" si="2">E15-E28</f>
        <v>#REF!</v>
      </c>
      <c r="F30" s="14">
        <f>F15-F28</f>
        <v>10000</v>
      </c>
      <c r="G30" s="14" t="e">
        <f t="shared" si="2"/>
        <v>#REF!</v>
      </c>
      <c r="H30" s="14">
        <f t="shared" si="2"/>
        <v>10839</v>
      </c>
      <c r="I30" s="14">
        <f t="shared" si="2"/>
        <v>618</v>
      </c>
      <c r="J30" s="14">
        <f>J15-J28</f>
        <v>460</v>
      </c>
      <c r="K30" s="14">
        <f>K15-K28</f>
        <v>0</v>
      </c>
      <c r="L30" s="14">
        <f>L15-L28</f>
        <v>0</v>
      </c>
      <c r="M30" s="14">
        <f>M15-M28</f>
        <v>508</v>
      </c>
      <c r="N30" s="14">
        <f>N15-N28</f>
        <v>0</v>
      </c>
      <c r="O30" s="14"/>
      <c r="P30" s="14">
        <f>P15-P28</f>
        <v>3990</v>
      </c>
      <c r="Q30" s="14"/>
      <c r="V30" s="14">
        <f t="shared" ref="V30" si="3">V15-V28</f>
        <v>0</v>
      </c>
    </row>
    <row r="31" spans="1:32" ht="15.75" thickBot="1">
      <c r="A31" t="s">
        <v>114</v>
      </c>
      <c r="B31" s="64">
        <f>'FY10-11'!O4</f>
        <v>2209285</v>
      </c>
      <c r="C31" s="64"/>
      <c r="D31" s="64">
        <f>'FY10-11'!P4</f>
        <v>26929</v>
      </c>
      <c r="E31" s="64">
        <f>'FY10-11'!O8</f>
        <v>233398</v>
      </c>
      <c r="F31">
        <f>'FY10-11'!O3</f>
        <v>213236</v>
      </c>
    </row>
    <row r="32" spans="1:32" ht="16.5" thickBot="1">
      <c r="A32" s="37" t="s">
        <v>115</v>
      </c>
      <c r="B32" s="62" t="e">
        <f>B30/B28</f>
        <v>#DIV/0!</v>
      </c>
      <c r="C32" s="62"/>
      <c r="D32" s="62" t="e">
        <f>D30/D28</f>
        <v>#DIV/0!</v>
      </c>
      <c r="E32" s="62" t="e">
        <f t="shared" ref="E32:P32" si="4">E30/E28</f>
        <v>#REF!</v>
      </c>
      <c r="F32" s="62" t="e">
        <f t="shared" si="4"/>
        <v>#DIV/0!</v>
      </c>
      <c r="G32" s="62" t="e">
        <f t="shared" si="4"/>
        <v>#REF!</v>
      </c>
      <c r="H32" s="62" t="e">
        <f t="shared" si="4"/>
        <v>#DIV/0!</v>
      </c>
      <c r="I32" s="62" t="e">
        <f t="shared" si="4"/>
        <v>#DIV/0!</v>
      </c>
      <c r="J32" s="62" t="e">
        <f t="shared" si="4"/>
        <v>#DIV/0!</v>
      </c>
      <c r="K32" s="62" t="e">
        <f t="shared" si="4"/>
        <v>#DIV/0!</v>
      </c>
      <c r="L32" s="62" t="e">
        <f t="shared" si="4"/>
        <v>#DIV/0!</v>
      </c>
      <c r="M32" s="62" t="e">
        <f t="shared" si="4"/>
        <v>#DIV/0!</v>
      </c>
      <c r="N32" s="62" t="e">
        <f t="shared" si="4"/>
        <v>#DIV/0!</v>
      </c>
      <c r="O32" s="62"/>
      <c r="P32" s="62" t="e">
        <f t="shared" si="4"/>
        <v>#DIV/0!</v>
      </c>
      <c r="Q32" s="89"/>
    </row>
    <row r="34" spans="1:6" ht="15.75" thickBot="1"/>
    <row r="35" spans="1:6" ht="15.75" thickBot="1">
      <c r="A35" s="37"/>
      <c r="B35" s="65"/>
      <c r="C35" s="65"/>
      <c r="D35" s="65"/>
      <c r="E35" s="66"/>
      <c r="F35" s="67"/>
    </row>
    <row r="46" spans="1:6">
      <c r="E46" s="1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59"/>
  <sheetViews>
    <sheetView workbookViewId="0">
      <pane ySplit="1" topLeftCell="A4" activePane="bottomLeft" state="frozen"/>
      <selection pane="bottomLeft" activeCell="T4" sqref="T4"/>
    </sheetView>
  </sheetViews>
  <sheetFormatPr defaultRowHeight="15"/>
  <cols>
    <col min="1" max="1" width="11.85546875" customWidth="1"/>
    <col min="2" max="2" width="13.28515625" bestFit="1" customWidth="1"/>
    <col min="3" max="3" width="12.140625" bestFit="1" customWidth="1"/>
    <col min="4" max="4" width="14.140625" bestFit="1" customWidth="1"/>
    <col min="5" max="6" width="12.140625" bestFit="1" customWidth="1"/>
    <col min="7" max="7" width="13.5703125" bestFit="1" customWidth="1"/>
    <col min="8" max="8" width="12.42578125" customWidth="1"/>
    <col min="10" max="10" width="10.28515625" customWidth="1"/>
    <col min="13" max="14" width="10.5703125" bestFit="1" customWidth="1"/>
    <col min="15" max="15" width="11.42578125" customWidth="1"/>
    <col min="16" max="16" width="9.7109375" bestFit="1" customWidth="1"/>
    <col min="17" max="17" width="11.85546875" bestFit="1" customWidth="1"/>
    <col min="18" max="18" width="10.28515625" bestFit="1" customWidth="1"/>
    <col min="21" max="21" width="12" bestFit="1" customWidth="1"/>
    <col min="22" max="22" width="7" customWidth="1"/>
    <col min="28" max="29" width="7.5703125" customWidth="1"/>
    <col min="30" max="30" width="12.28515625" bestFit="1" customWidth="1"/>
  </cols>
  <sheetData>
    <row r="1" spans="1:34" ht="16.5" thickBot="1">
      <c r="A1" s="16" t="s">
        <v>22</v>
      </c>
      <c r="B1" s="75" t="s">
        <v>23</v>
      </c>
      <c r="C1" s="17" t="s">
        <v>4</v>
      </c>
      <c r="D1" s="59" t="s">
        <v>5</v>
      </c>
      <c r="E1" s="59" t="s">
        <v>58</v>
      </c>
      <c r="F1" s="17" t="s">
        <v>24</v>
      </c>
      <c r="G1" s="59" t="s">
        <v>57</v>
      </c>
      <c r="H1" s="59" t="s">
        <v>26</v>
      </c>
      <c r="I1" s="18" t="s">
        <v>118</v>
      </c>
      <c r="J1" s="17" t="s">
        <v>59</v>
      </c>
      <c r="K1" s="17" t="s">
        <v>95</v>
      </c>
      <c r="L1" s="17" t="s">
        <v>29</v>
      </c>
      <c r="M1" s="59" t="s">
        <v>32</v>
      </c>
      <c r="N1" s="17" t="s">
        <v>61</v>
      </c>
      <c r="O1" s="17" t="s">
        <v>28</v>
      </c>
      <c r="P1" s="17" t="s">
        <v>27</v>
      </c>
      <c r="Q1" s="17" t="s">
        <v>70</v>
      </c>
      <c r="R1" s="17" t="s">
        <v>11</v>
      </c>
      <c r="S1" s="18" t="s">
        <v>65</v>
      </c>
      <c r="T1" s="17" t="s">
        <v>119</v>
      </c>
      <c r="U1" s="17" t="s">
        <v>31</v>
      </c>
      <c r="V1" s="17" t="s">
        <v>120</v>
      </c>
      <c r="W1" s="59" t="s">
        <v>34</v>
      </c>
      <c r="X1" s="17" t="s">
        <v>35</v>
      </c>
      <c r="Y1" s="18" t="s">
        <v>64</v>
      </c>
      <c r="Z1" s="18" t="s">
        <v>66</v>
      </c>
      <c r="AA1" s="18" t="s">
        <v>68</v>
      </c>
      <c r="AB1" s="17" t="s">
        <v>63</v>
      </c>
      <c r="AC1" s="18" t="s">
        <v>128</v>
      </c>
      <c r="AD1" s="26" t="s">
        <v>20</v>
      </c>
      <c r="AE1" s="18" t="s">
        <v>62</v>
      </c>
    </row>
    <row r="2" spans="1:34" ht="16.5" thickBot="1">
      <c r="A2" s="20"/>
      <c r="B2" s="75"/>
      <c r="C2" s="17"/>
      <c r="D2" s="59"/>
      <c r="E2" s="59"/>
      <c r="F2" s="17"/>
      <c r="G2" s="59"/>
      <c r="H2" s="59"/>
      <c r="I2" s="18"/>
      <c r="J2" s="17"/>
      <c r="K2" s="17"/>
      <c r="L2" s="17"/>
      <c r="M2" s="59"/>
      <c r="N2" s="17"/>
      <c r="O2" s="17"/>
      <c r="P2" s="17"/>
      <c r="Q2" s="17"/>
      <c r="R2" s="17"/>
      <c r="S2" s="18"/>
      <c r="T2" s="17"/>
      <c r="U2" s="17"/>
      <c r="V2" s="17"/>
      <c r="W2" s="59"/>
      <c r="X2" s="17"/>
      <c r="Y2" s="18"/>
      <c r="Z2" s="18"/>
      <c r="AA2" s="18"/>
      <c r="AB2" s="17"/>
      <c r="AC2" s="18"/>
      <c r="AD2" s="26"/>
      <c r="AE2" s="18"/>
    </row>
    <row r="3" spans="1:34" ht="16.5" thickBot="1">
      <c r="A3" s="19" t="s">
        <v>36</v>
      </c>
      <c r="B3">
        <v>124392</v>
      </c>
      <c r="C3" s="20">
        <v>27200</v>
      </c>
      <c r="D3" s="20">
        <v>24651</v>
      </c>
      <c r="E3" s="20"/>
      <c r="F3" s="20"/>
      <c r="G3" s="20"/>
      <c r="H3" s="20">
        <v>2530</v>
      </c>
      <c r="I3" s="20"/>
      <c r="J3" s="20">
        <v>3500</v>
      </c>
      <c r="K3" s="20"/>
      <c r="L3" s="20">
        <v>70</v>
      </c>
      <c r="M3" s="20">
        <v>1280</v>
      </c>
      <c r="N3" s="20">
        <v>1908</v>
      </c>
      <c r="O3" s="20">
        <v>517</v>
      </c>
      <c r="P3" s="20">
        <v>280</v>
      </c>
      <c r="Q3" s="20">
        <f>2025+23830</f>
        <v>25855</v>
      </c>
      <c r="R3" s="20">
        <v>1330</v>
      </c>
      <c r="S3" s="20"/>
      <c r="T3" s="20"/>
      <c r="U3" s="20"/>
      <c r="V3" s="20"/>
      <c r="W3" s="20"/>
      <c r="X3" s="20"/>
      <c r="Y3" s="20"/>
      <c r="Z3" s="20"/>
      <c r="AA3" s="20"/>
      <c r="AB3" s="20"/>
      <c r="AC3" s="68"/>
      <c r="AD3" s="27">
        <f>SUM(B3:AB3)</f>
        <v>213513</v>
      </c>
      <c r="AE3" s="20"/>
    </row>
    <row r="4" spans="1:34" ht="16.5" thickBot="1">
      <c r="A4" s="21" t="s">
        <v>37</v>
      </c>
      <c r="B4" s="3">
        <v>286880</v>
      </c>
      <c r="C4" s="20">
        <v>27200</v>
      </c>
      <c r="D4" s="20">
        <v>24651</v>
      </c>
      <c r="E4" s="3"/>
      <c r="F4" s="3"/>
      <c r="G4" s="3">
        <v>18500</v>
      </c>
      <c r="H4" s="3">
        <v>1090</v>
      </c>
      <c r="I4" s="3">
        <v>450</v>
      </c>
      <c r="J4" s="3">
        <v>3500</v>
      </c>
      <c r="K4" s="3"/>
      <c r="L4" s="3">
        <v>0</v>
      </c>
      <c r="M4" s="3"/>
      <c r="N4" s="3">
        <v>1236</v>
      </c>
      <c r="O4" s="3">
        <v>892</v>
      </c>
      <c r="P4" s="3">
        <v>410</v>
      </c>
      <c r="Q4" s="3">
        <v>1816</v>
      </c>
      <c r="R4" s="3">
        <v>3500</v>
      </c>
      <c r="S4" s="3"/>
      <c r="T4" s="3">
        <v>29000</v>
      </c>
      <c r="U4" s="3"/>
      <c r="V4" s="3">
        <v>2800</v>
      </c>
      <c r="W4" s="3"/>
      <c r="X4" s="3"/>
      <c r="Y4" s="3"/>
      <c r="Z4" s="3"/>
      <c r="AA4" s="3">
        <v>3000</v>
      </c>
      <c r="AB4" s="3"/>
      <c r="AC4" s="69"/>
      <c r="AD4" s="27">
        <f t="shared" ref="AD4:AD14" si="0">SUM(B4:AB4)</f>
        <v>404925</v>
      </c>
      <c r="AE4" s="3"/>
    </row>
    <row r="5" spans="1:34" ht="16.5" thickBot="1">
      <c r="A5" s="21" t="s">
        <v>56</v>
      </c>
      <c r="B5" s="3">
        <v>513060</v>
      </c>
      <c r="C5" s="20">
        <v>27220</v>
      </c>
      <c r="D5" s="20">
        <v>26411</v>
      </c>
      <c r="E5" s="3"/>
      <c r="F5" s="3">
        <v>17000</v>
      </c>
      <c r="G5" s="3">
        <v>8500</v>
      </c>
      <c r="H5" s="3">
        <v>12649</v>
      </c>
      <c r="I5" s="3">
        <v>0</v>
      </c>
      <c r="J5" s="3">
        <v>0</v>
      </c>
      <c r="K5" s="3"/>
      <c r="L5" s="3">
        <v>408</v>
      </c>
      <c r="M5" s="3">
        <v>1000</v>
      </c>
      <c r="N5" s="3">
        <v>1583</v>
      </c>
      <c r="O5" s="3">
        <v>1607</v>
      </c>
      <c r="P5" s="3">
        <v>250</v>
      </c>
      <c r="Q5" s="3">
        <v>1733</v>
      </c>
      <c r="R5" s="3">
        <v>0</v>
      </c>
      <c r="S5" s="3"/>
      <c r="T5" s="3"/>
      <c r="U5" s="3"/>
      <c r="V5" s="3"/>
      <c r="W5" s="3"/>
      <c r="X5" s="3"/>
      <c r="Y5" s="3"/>
      <c r="Z5" s="3"/>
      <c r="AA5" s="3"/>
      <c r="AB5" s="3"/>
      <c r="AC5" s="69"/>
      <c r="AD5" s="27">
        <f t="shared" si="0"/>
        <v>611421</v>
      </c>
      <c r="AE5" s="3"/>
    </row>
    <row r="6" spans="1:34" ht="16.5" thickBot="1">
      <c r="A6" s="21" t="s">
        <v>39</v>
      </c>
      <c r="B6" s="3">
        <v>497560</v>
      </c>
      <c r="C6" s="20">
        <v>27200</v>
      </c>
      <c r="D6" s="20">
        <v>26411</v>
      </c>
      <c r="E6" s="3">
        <v>255063</v>
      </c>
      <c r="F6" s="3">
        <v>35000</v>
      </c>
      <c r="G6" s="3">
        <v>9000</v>
      </c>
      <c r="H6" s="3">
        <v>15294</v>
      </c>
      <c r="I6" s="3">
        <v>0</v>
      </c>
      <c r="J6" s="3">
        <v>3500</v>
      </c>
      <c r="K6" s="3"/>
      <c r="L6" s="3">
        <v>232</v>
      </c>
      <c r="M6" s="3">
        <v>0</v>
      </c>
      <c r="N6" s="3">
        <v>618</v>
      </c>
      <c r="O6" s="3">
        <v>1122</v>
      </c>
      <c r="P6" s="3">
        <v>342</v>
      </c>
      <c r="Q6" s="3">
        <v>13468</v>
      </c>
      <c r="R6" s="3">
        <v>0</v>
      </c>
      <c r="S6" s="3"/>
      <c r="T6" s="3"/>
      <c r="U6" s="3"/>
      <c r="V6" s="3"/>
      <c r="W6" s="3"/>
      <c r="X6" s="3">
        <v>6000</v>
      </c>
      <c r="Y6" s="3"/>
      <c r="Z6" s="3"/>
      <c r="AA6" s="3"/>
      <c r="AB6" s="3">
        <v>1000</v>
      </c>
      <c r="AC6" s="69"/>
      <c r="AD6" s="27">
        <f t="shared" si="0"/>
        <v>891810</v>
      </c>
      <c r="AE6" s="3">
        <v>10500</v>
      </c>
    </row>
    <row r="7" spans="1:34" ht="16.5" thickBot="1">
      <c r="A7" s="21" t="s">
        <v>40</v>
      </c>
      <c r="B7" s="3">
        <v>474550</v>
      </c>
      <c r="C7" s="20">
        <v>27200</v>
      </c>
      <c r="D7" s="20">
        <v>26411</v>
      </c>
      <c r="E7" s="3"/>
      <c r="F7" s="3">
        <v>62000</v>
      </c>
      <c r="G7" s="3">
        <v>17070</v>
      </c>
      <c r="H7" s="3">
        <v>39061</v>
      </c>
      <c r="I7" s="3"/>
      <c r="J7" s="3">
        <v>3500</v>
      </c>
      <c r="K7" s="3">
        <v>13000</v>
      </c>
      <c r="L7" s="3">
        <v>1012</v>
      </c>
      <c r="M7" s="3">
        <v>2620</v>
      </c>
      <c r="N7" s="3">
        <v>618</v>
      </c>
      <c r="O7" s="3">
        <v>4791</v>
      </c>
      <c r="P7" s="3">
        <v>280</v>
      </c>
      <c r="Q7" s="3">
        <v>65</v>
      </c>
      <c r="R7" s="3">
        <v>0</v>
      </c>
      <c r="S7" s="3"/>
      <c r="T7" s="3"/>
      <c r="U7" s="3"/>
      <c r="V7" s="3"/>
      <c r="W7" s="3"/>
      <c r="X7" s="3"/>
      <c r="Y7" s="3"/>
      <c r="Z7" s="3"/>
      <c r="AA7" s="3"/>
      <c r="AB7" s="3">
        <v>0</v>
      </c>
      <c r="AC7" s="69"/>
      <c r="AD7" s="27">
        <f t="shared" si="0"/>
        <v>672178</v>
      </c>
      <c r="AE7" s="3"/>
    </row>
    <row r="8" spans="1:34" ht="16.5" thickBot="1">
      <c r="A8" s="21" t="s">
        <v>42</v>
      </c>
      <c r="B8" s="3">
        <v>422440</v>
      </c>
      <c r="C8" s="20">
        <v>27200</v>
      </c>
      <c r="D8" s="20">
        <v>26411</v>
      </c>
      <c r="E8" s="3"/>
      <c r="F8" s="3">
        <v>52000</v>
      </c>
      <c r="G8" s="3">
        <v>6000</v>
      </c>
      <c r="H8" s="3">
        <v>2690</v>
      </c>
      <c r="I8" s="3"/>
      <c r="J8" s="3">
        <v>4450</v>
      </c>
      <c r="K8" s="3"/>
      <c r="L8" s="3">
        <v>13504</v>
      </c>
      <c r="M8" s="3">
        <v>4910</v>
      </c>
      <c r="N8" s="3">
        <v>650</v>
      </c>
      <c r="O8" s="3">
        <v>735</v>
      </c>
      <c r="P8" s="3">
        <v>670</v>
      </c>
      <c r="Q8" s="3">
        <v>0</v>
      </c>
      <c r="R8" s="3">
        <v>0</v>
      </c>
      <c r="S8" s="3">
        <v>0</v>
      </c>
      <c r="T8" s="3"/>
      <c r="U8" s="3"/>
      <c r="V8" s="3"/>
      <c r="W8" s="3"/>
      <c r="X8" s="3"/>
      <c r="Y8" s="3">
        <v>0</v>
      </c>
      <c r="Z8" s="3">
        <v>0</v>
      </c>
      <c r="AA8" s="3"/>
      <c r="AB8" s="3">
        <v>0</v>
      </c>
      <c r="AC8" s="69"/>
      <c r="AD8" s="27">
        <f t="shared" si="0"/>
        <v>561660</v>
      </c>
      <c r="AE8" s="3"/>
      <c r="AF8" t="s">
        <v>67</v>
      </c>
    </row>
    <row r="9" spans="1:34" ht="16.5" thickBot="1">
      <c r="A9" s="21" t="s">
        <v>43</v>
      </c>
      <c r="B9" s="3">
        <v>428840</v>
      </c>
      <c r="C9" s="20">
        <v>27200</v>
      </c>
      <c r="D9" s="20">
        <v>26411</v>
      </c>
      <c r="E9" s="3"/>
      <c r="F9" s="3">
        <v>15000</v>
      </c>
      <c r="G9" s="3">
        <v>10530</v>
      </c>
      <c r="H9" s="3">
        <v>18366</v>
      </c>
      <c r="I9" s="3"/>
      <c r="J9" s="3">
        <v>4000</v>
      </c>
      <c r="K9" s="3"/>
      <c r="L9" s="3">
        <v>6196</v>
      </c>
      <c r="M9" s="3">
        <f>4760-2360</f>
        <v>2400</v>
      </c>
      <c r="N9" s="3">
        <v>2563</v>
      </c>
      <c r="O9" s="3">
        <v>211</v>
      </c>
      <c r="P9" s="3">
        <v>390</v>
      </c>
      <c r="Q9" s="3">
        <v>2240</v>
      </c>
      <c r="R9" s="3">
        <v>0</v>
      </c>
      <c r="S9" s="3"/>
      <c r="T9" s="3"/>
      <c r="U9" s="3"/>
      <c r="V9" s="3">
        <v>12263</v>
      </c>
      <c r="W9" s="3"/>
      <c r="X9" s="3"/>
      <c r="Y9" s="3"/>
      <c r="Z9" s="3"/>
      <c r="AA9" s="3"/>
      <c r="AB9" s="3">
        <v>0</v>
      </c>
      <c r="AC9" s="69"/>
      <c r="AD9" s="27">
        <f t="shared" si="0"/>
        <v>556610</v>
      </c>
      <c r="AE9" s="3">
        <v>1000</v>
      </c>
      <c r="AF9" t="s">
        <v>125</v>
      </c>
      <c r="AG9">
        <v>2000</v>
      </c>
      <c r="AH9" t="s">
        <v>126</v>
      </c>
    </row>
    <row r="10" spans="1:34" ht="16.5" thickBot="1">
      <c r="A10" s="21" t="s">
        <v>44</v>
      </c>
      <c r="B10" s="3">
        <v>286110</v>
      </c>
      <c r="C10" s="20">
        <v>27200</v>
      </c>
      <c r="D10" s="20">
        <v>26411</v>
      </c>
      <c r="E10" s="3"/>
      <c r="F10" s="3">
        <v>7000</v>
      </c>
      <c r="G10" s="3">
        <v>0</v>
      </c>
      <c r="H10" s="3">
        <v>1863</v>
      </c>
      <c r="I10" s="3"/>
      <c r="J10" s="3">
        <v>4000</v>
      </c>
      <c r="K10" s="3"/>
      <c r="L10" s="3">
        <v>329</v>
      </c>
      <c r="M10" s="3">
        <v>0</v>
      </c>
      <c r="N10" s="3">
        <v>618</v>
      </c>
      <c r="O10" s="3">
        <v>52</v>
      </c>
      <c r="P10" s="3">
        <v>350</v>
      </c>
      <c r="Q10" s="3">
        <v>0</v>
      </c>
      <c r="R10" s="3">
        <v>0</v>
      </c>
      <c r="S10" s="3"/>
      <c r="T10" s="3"/>
      <c r="U10" s="3"/>
      <c r="V10" s="3"/>
      <c r="W10" s="3"/>
      <c r="X10" s="3"/>
      <c r="Y10" s="3"/>
      <c r="Z10" s="3"/>
      <c r="AA10" s="3">
        <v>5000</v>
      </c>
      <c r="AB10" s="3">
        <v>0</v>
      </c>
      <c r="AC10" s="69"/>
      <c r="AD10" s="27">
        <f t="shared" si="0"/>
        <v>358933</v>
      </c>
      <c r="AE10" s="3"/>
    </row>
    <row r="11" spans="1:34" ht="16.5" thickBot="1">
      <c r="A11" s="21" t="s">
        <v>45</v>
      </c>
      <c r="B11" s="74">
        <v>223370</v>
      </c>
      <c r="C11" s="20">
        <v>27200</v>
      </c>
      <c r="D11" s="20">
        <v>26411</v>
      </c>
      <c r="E11" s="3"/>
      <c r="F11" s="3">
        <v>0</v>
      </c>
      <c r="G11" s="3">
        <v>4000</v>
      </c>
      <c r="H11" s="3">
        <v>20511</v>
      </c>
      <c r="I11" s="3"/>
      <c r="J11" s="3">
        <v>4000</v>
      </c>
      <c r="K11" s="3"/>
      <c r="L11" s="3">
        <v>264</v>
      </c>
      <c r="M11" s="3">
        <v>5584</v>
      </c>
      <c r="N11" s="3">
        <v>0</v>
      </c>
      <c r="O11" s="3">
        <v>960</v>
      </c>
      <c r="P11" s="3">
        <v>340</v>
      </c>
      <c r="Q11" s="3">
        <v>0</v>
      </c>
      <c r="R11" s="3">
        <v>0</v>
      </c>
      <c r="S11" s="3"/>
      <c r="T11" s="3"/>
      <c r="U11" s="3"/>
      <c r="V11" s="3"/>
      <c r="W11" s="3">
        <v>9180</v>
      </c>
      <c r="X11" s="3"/>
      <c r="Y11" s="3"/>
      <c r="Z11" s="3"/>
      <c r="AA11" s="3"/>
      <c r="AB11" s="3">
        <v>0</v>
      </c>
      <c r="AC11" s="69"/>
      <c r="AD11" s="27">
        <f t="shared" si="0"/>
        <v>321820</v>
      </c>
      <c r="AE11" s="3"/>
    </row>
    <row r="12" spans="1:34" ht="16.5" thickBot="1">
      <c r="A12" s="21" t="s">
        <v>47</v>
      </c>
      <c r="B12" s="3">
        <v>251350</v>
      </c>
      <c r="C12" s="20">
        <v>27200</v>
      </c>
      <c r="D12" s="20">
        <v>26411</v>
      </c>
      <c r="E12" s="3"/>
      <c r="F12" s="3">
        <v>0</v>
      </c>
      <c r="G12" s="3">
        <v>6000</v>
      </c>
      <c r="H12" s="3">
        <v>500</v>
      </c>
      <c r="I12" s="3"/>
      <c r="J12" s="3">
        <v>4000</v>
      </c>
      <c r="K12" s="3"/>
      <c r="L12" s="3">
        <v>128</v>
      </c>
      <c r="M12" s="3">
        <v>730</v>
      </c>
      <c r="N12" s="3">
        <v>1256</v>
      </c>
      <c r="O12" s="3">
        <v>1256</v>
      </c>
      <c r="P12" s="3">
        <v>430</v>
      </c>
      <c r="Q12" s="3">
        <v>680</v>
      </c>
      <c r="R12" s="3">
        <v>0</v>
      </c>
      <c r="S12" s="3"/>
      <c r="T12" s="3"/>
      <c r="U12" s="3"/>
      <c r="V12" s="3"/>
      <c r="W12" s="3"/>
      <c r="X12" s="3"/>
      <c r="Y12" s="3"/>
      <c r="Z12" s="3"/>
      <c r="AA12" s="3"/>
      <c r="AB12" s="3"/>
      <c r="AC12" s="69"/>
      <c r="AD12" s="27">
        <f t="shared" si="0"/>
        <v>319941</v>
      </c>
      <c r="AE12" s="3"/>
    </row>
    <row r="13" spans="1:34" ht="16.5" thickBot="1">
      <c r="A13" s="21" t="s">
        <v>50</v>
      </c>
      <c r="B13" s="3">
        <v>327640</v>
      </c>
      <c r="C13" s="3">
        <v>27200</v>
      </c>
      <c r="D13" s="20">
        <v>26411</v>
      </c>
      <c r="E13" s="3"/>
      <c r="F13" s="3">
        <v>74994</v>
      </c>
      <c r="G13" s="3">
        <v>6000</v>
      </c>
      <c r="H13" s="3">
        <v>9273</v>
      </c>
      <c r="I13" s="3"/>
      <c r="J13" s="3">
        <v>4000</v>
      </c>
      <c r="K13" s="3"/>
      <c r="L13" s="3"/>
      <c r="M13" s="3"/>
      <c r="N13" s="3">
        <v>618</v>
      </c>
      <c r="O13" s="3">
        <v>40</v>
      </c>
      <c r="P13" s="3">
        <v>80</v>
      </c>
      <c r="Q13" s="3"/>
      <c r="R13" s="3">
        <v>0</v>
      </c>
      <c r="S13" s="3"/>
      <c r="T13" s="3"/>
      <c r="U13" s="3"/>
      <c r="V13" s="3"/>
      <c r="W13" s="3"/>
      <c r="X13" s="3"/>
      <c r="Y13" s="3"/>
      <c r="Z13" s="3"/>
      <c r="AA13" s="3"/>
      <c r="AB13" s="3"/>
      <c r="AC13" s="69">
        <v>47367</v>
      </c>
      <c r="AD13" s="27">
        <f t="shared" si="0"/>
        <v>476256</v>
      </c>
      <c r="AE13" s="3"/>
      <c r="AG13">
        <v>10000</v>
      </c>
      <c r="AH13" t="s">
        <v>129</v>
      </c>
    </row>
    <row r="14" spans="1:34" ht="16.5" thickBot="1">
      <c r="A14" s="21" t="s">
        <v>51</v>
      </c>
      <c r="B14" s="24">
        <v>496935</v>
      </c>
      <c r="C14" s="24">
        <v>27200</v>
      </c>
      <c r="D14" s="20">
        <v>26411</v>
      </c>
      <c r="E14" s="24"/>
      <c r="F14" s="24"/>
      <c r="G14" s="24">
        <v>7000</v>
      </c>
      <c r="H14" s="24">
        <v>9775</v>
      </c>
      <c r="I14" s="24"/>
      <c r="J14" s="24">
        <v>3955</v>
      </c>
      <c r="K14" s="24"/>
      <c r="L14" s="24">
        <v>76</v>
      </c>
      <c r="M14" s="24">
        <v>2228</v>
      </c>
      <c r="N14" s="24">
        <v>618</v>
      </c>
      <c r="O14" s="24">
        <v>696</v>
      </c>
      <c r="P14" s="24">
        <v>360</v>
      </c>
      <c r="Q14" s="24">
        <v>0</v>
      </c>
      <c r="R14" s="24">
        <v>0</v>
      </c>
      <c r="S14" s="24"/>
      <c r="T14" s="24"/>
      <c r="U14" s="24"/>
      <c r="V14" s="24"/>
      <c r="W14" s="24"/>
      <c r="X14" s="24"/>
      <c r="Y14" s="24"/>
      <c r="Z14" s="24"/>
      <c r="AA14" s="24"/>
      <c r="AB14" s="24">
        <v>2000</v>
      </c>
      <c r="AC14" s="70"/>
      <c r="AD14" s="27">
        <f t="shared" si="0"/>
        <v>577254</v>
      </c>
      <c r="AE14" s="24"/>
    </row>
    <row r="15" spans="1:34" ht="19.5" thickBot="1">
      <c r="B15" s="59">
        <f>SUM(B3:B14)+38995</f>
        <v>4372122</v>
      </c>
      <c r="C15" s="84">
        <f>SUM(C3:C14)</f>
        <v>326420</v>
      </c>
      <c r="D15" s="17">
        <f>SUM(D3:D14)+Z15</f>
        <v>313412</v>
      </c>
      <c r="E15" s="75">
        <f>SUM(E3:E14)</f>
        <v>255063</v>
      </c>
      <c r="F15" s="17">
        <f>SUM(F3:F14)+S15</f>
        <v>262994</v>
      </c>
      <c r="G15" s="17">
        <f>SUM(G3:G14)+T15+10519</f>
        <v>132119</v>
      </c>
      <c r="H15" s="17">
        <f t="shared" ref="H15:AD15" si="1">SUM(H3:H14)</f>
        <v>133602</v>
      </c>
      <c r="I15" s="17">
        <f t="shared" si="1"/>
        <v>450</v>
      </c>
      <c r="J15" s="59">
        <f t="shared" si="1"/>
        <v>42405</v>
      </c>
      <c r="K15" s="17">
        <f t="shared" si="1"/>
        <v>13000</v>
      </c>
      <c r="L15" s="17">
        <f t="shared" si="1"/>
        <v>22219</v>
      </c>
      <c r="M15" s="59">
        <f t="shared" si="1"/>
        <v>20752</v>
      </c>
      <c r="N15" s="17">
        <f t="shared" si="1"/>
        <v>12286</v>
      </c>
      <c r="O15" s="59">
        <f t="shared" si="1"/>
        <v>12879</v>
      </c>
      <c r="P15" s="17">
        <f t="shared" si="1"/>
        <v>4182</v>
      </c>
      <c r="Q15" s="17">
        <f t="shared" si="1"/>
        <v>45857</v>
      </c>
      <c r="R15" s="17">
        <f t="shared" si="1"/>
        <v>4830</v>
      </c>
      <c r="S15" s="17">
        <f>SUM(S3:S14)</f>
        <v>0</v>
      </c>
      <c r="T15" s="15">
        <f t="shared" si="1"/>
        <v>29000</v>
      </c>
      <c r="U15" s="15">
        <f t="shared" si="1"/>
        <v>0</v>
      </c>
      <c r="V15" s="15">
        <f t="shared" si="1"/>
        <v>15063</v>
      </c>
      <c r="W15" s="15">
        <f t="shared" si="1"/>
        <v>9180</v>
      </c>
      <c r="X15" s="17">
        <f t="shared" si="1"/>
        <v>6000</v>
      </c>
      <c r="Y15" s="17">
        <f t="shared" si="1"/>
        <v>0</v>
      </c>
      <c r="Z15" s="15">
        <f t="shared" si="1"/>
        <v>0</v>
      </c>
      <c r="AA15" s="15">
        <f t="shared" si="1"/>
        <v>8000</v>
      </c>
      <c r="AB15" s="15">
        <f>SUM(AB3:AB14)</f>
        <v>3000</v>
      </c>
      <c r="AC15" s="71"/>
      <c r="AD15" s="28">
        <f t="shared" si="1"/>
        <v>5966321</v>
      </c>
      <c r="AE15" s="15">
        <f>SUM(AE3:AE14)</f>
        <v>11500</v>
      </c>
    </row>
    <row r="16" spans="1:34" ht="15.75" thickBot="1">
      <c r="B16" s="2" t="s">
        <v>2</v>
      </c>
      <c r="C16" s="2" t="s">
        <v>88</v>
      </c>
      <c r="D16" s="2" t="s">
        <v>89</v>
      </c>
      <c r="E16" s="2" t="s">
        <v>97</v>
      </c>
      <c r="F16" s="2" t="s">
        <v>24</v>
      </c>
      <c r="G16" s="2" t="s">
        <v>103</v>
      </c>
      <c r="H16" s="2" t="s">
        <v>90</v>
      </c>
      <c r="I16" s="2" t="s">
        <v>98</v>
      </c>
      <c r="J16" s="2" t="s">
        <v>59</v>
      </c>
      <c r="K16" s="2" t="s">
        <v>96</v>
      </c>
      <c r="L16" s="2" t="s">
        <v>94</v>
      </c>
      <c r="M16" s="2" t="s">
        <v>99</v>
      </c>
      <c r="N16" s="2" t="s">
        <v>132</v>
      </c>
      <c r="O16" s="2" t="s">
        <v>91</v>
      </c>
      <c r="P16" s="2" t="s">
        <v>10</v>
      </c>
      <c r="Q16" s="2" t="s">
        <v>93</v>
      </c>
      <c r="R16" s="2" t="s">
        <v>11</v>
      </c>
      <c r="S16" s="3"/>
      <c r="W16" t="s">
        <v>93</v>
      </c>
      <c r="X16" s="2" t="s">
        <v>100</v>
      </c>
      <c r="Y16" s="3"/>
    </row>
    <row r="17" spans="1:34" ht="21.75" thickBot="1">
      <c r="A17" s="2" t="s">
        <v>53</v>
      </c>
      <c r="B17" s="83">
        <f>'[1]I &amp; E'!$D$18</f>
        <v>4373122</v>
      </c>
      <c r="C17" s="76">
        <v>404480</v>
      </c>
      <c r="D17" s="83">
        <f>'[1]I &amp; E'!$D$31</f>
        <v>319998</v>
      </c>
      <c r="E17" s="76">
        <f>'[1]I &amp; E'!$D$24</f>
        <v>255063</v>
      </c>
      <c r="F17" s="76">
        <f>'[1]I &amp; E'!$D$32</f>
        <v>262994</v>
      </c>
      <c r="G17" s="83">
        <f>'[1]I &amp; E'!$D$21</f>
        <v>141849</v>
      </c>
      <c r="H17" s="83">
        <f>'[1]I &amp; E'!$D$29</f>
        <v>272640</v>
      </c>
      <c r="I17" s="3"/>
      <c r="J17" s="76">
        <f>'[1]I &amp; E'!$D$33</f>
        <v>42405</v>
      </c>
      <c r="K17" s="3">
        <v>13000</v>
      </c>
      <c r="L17" s="7">
        <v>16212</v>
      </c>
      <c r="M17" s="86">
        <f>'[1]I &amp; E'!$D$20</f>
        <v>20752</v>
      </c>
      <c r="N17" s="83">
        <f>'[1]I &amp; E'!$D$26</f>
        <v>12901</v>
      </c>
      <c r="O17" s="86">
        <f>'[1]I &amp; E'!$D$27</f>
        <v>12879</v>
      </c>
      <c r="P17" s="83">
        <f>'[1]I &amp; E'!$D$16</f>
        <v>4282</v>
      </c>
      <c r="Q17" s="3"/>
      <c r="R17" s="7">
        <v>6830</v>
      </c>
      <c r="S17" s="3"/>
      <c r="T17" s="3"/>
      <c r="U17" s="3"/>
      <c r="V17" s="3"/>
      <c r="W17" s="3"/>
      <c r="X17" s="3"/>
      <c r="Y17" s="3"/>
      <c r="Z17" s="3"/>
      <c r="AA17" s="3"/>
      <c r="AB17" s="3"/>
      <c r="AC17" s="72"/>
      <c r="AD17" s="61"/>
      <c r="AH17">
        <f>AD17+AE17+AF17+AG17</f>
        <v>0</v>
      </c>
    </row>
    <row r="19" spans="1:34">
      <c r="A19" s="14" t="s">
        <v>19</v>
      </c>
      <c r="B19" s="77">
        <f>B15-B17</f>
        <v>-1000</v>
      </c>
      <c r="C19" s="77">
        <f>C15-C17</f>
        <v>-78060</v>
      </c>
      <c r="D19" s="77">
        <f t="shared" ref="D19:X19" si="2">D15-D17</f>
        <v>-6586</v>
      </c>
      <c r="E19" s="77">
        <f>E15-E17</f>
        <v>0</v>
      </c>
      <c r="F19" s="77">
        <f t="shared" si="2"/>
        <v>0</v>
      </c>
      <c r="G19" s="77">
        <f t="shared" si="2"/>
        <v>-9730</v>
      </c>
      <c r="H19" s="77">
        <f t="shared" si="2"/>
        <v>-139038</v>
      </c>
      <c r="I19" s="77">
        <f t="shared" si="2"/>
        <v>450</v>
      </c>
      <c r="J19" s="77">
        <f t="shared" si="2"/>
        <v>0</v>
      </c>
      <c r="K19" s="77">
        <f t="shared" si="2"/>
        <v>0</v>
      </c>
      <c r="L19" s="77">
        <f t="shared" si="2"/>
        <v>6007</v>
      </c>
      <c r="M19" s="85">
        <f>M15-M17</f>
        <v>0</v>
      </c>
      <c r="N19" s="77">
        <f t="shared" si="2"/>
        <v>-615</v>
      </c>
      <c r="O19" s="77">
        <f t="shared" si="2"/>
        <v>0</v>
      </c>
      <c r="P19" s="77">
        <f t="shared" si="2"/>
        <v>-100</v>
      </c>
      <c r="Q19" s="77"/>
      <c r="R19" s="77">
        <f t="shared" si="2"/>
        <v>-2000</v>
      </c>
      <c r="S19" s="77">
        <v>0</v>
      </c>
      <c r="T19" s="77">
        <f t="shared" si="2"/>
        <v>29000</v>
      </c>
      <c r="U19" s="77">
        <f t="shared" si="2"/>
        <v>0</v>
      </c>
      <c r="V19" s="77">
        <f t="shared" si="2"/>
        <v>15063</v>
      </c>
      <c r="W19" s="77">
        <f t="shared" si="2"/>
        <v>9180</v>
      </c>
      <c r="X19" s="77">
        <f t="shared" si="2"/>
        <v>6000</v>
      </c>
      <c r="Y19" s="77">
        <v>0</v>
      </c>
      <c r="Z19" s="77">
        <v>0</v>
      </c>
      <c r="AA19" s="77">
        <v>0</v>
      </c>
      <c r="AB19" s="77">
        <v>0</v>
      </c>
      <c r="AC19" s="14"/>
    </row>
    <row r="20" spans="1:34">
      <c r="D20">
        <f>C15+C20</f>
        <v>326420</v>
      </c>
      <c r="E20" s="82">
        <f>C17-C15</f>
        <v>78060</v>
      </c>
    </row>
    <row r="21" spans="1:34" ht="15.75" thickBot="1"/>
    <row r="22" spans="1:34">
      <c r="B22" s="78" t="s">
        <v>130</v>
      </c>
      <c r="C22" s="79">
        <v>40000</v>
      </c>
      <c r="H22">
        <f>'FY13-14-Income'!C15</f>
        <v>3437552</v>
      </c>
      <c r="J22">
        <f>B15-H22</f>
        <v>934570</v>
      </c>
      <c r="K22">
        <f>J22/12</f>
        <v>77880.833333333328</v>
      </c>
      <c r="N22">
        <f>300*140*12</f>
        <v>504000</v>
      </c>
    </row>
    <row r="23" spans="1:34">
      <c r="B23" s="80" t="s">
        <v>17</v>
      </c>
      <c r="C23" s="79">
        <v>20000</v>
      </c>
      <c r="H23">
        <f>H22/B15</f>
        <v>0.78624338479118383</v>
      </c>
    </row>
    <row r="24" spans="1:34">
      <c r="B24" s="80" t="s">
        <v>131</v>
      </c>
      <c r="C24" s="79">
        <v>3390</v>
      </c>
    </row>
    <row r="25" spans="1:34">
      <c r="B25" s="80" t="s">
        <v>9</v>
      </c>
      <c r="C25" s="79">
        <v>5197</v>
      </c>
    </row>
    <row r="26" spans="1:34">
      <c r="B26" s="81"/>
      <c r="C26" s="79"/>
    </row>
    <row r="27" spans="1:34">
      <c r="B27" s="81"/>
      <c r="C27" s="79"/>
    </row>
    <row r="30" spans="1:34">
      <c r="B30" s="14">
        <f>B15-B28</f>
        <v>4372122</v>
      </c>
      <c r="C30" s="14">
        <f>C15-C28</f>
        <v>326420</v>
      </c>
      <c r="D30" s="14">
        <f t="shared" ref="D30:R30" si="3">D15-D28</f>
        <v>313412</v>
      </c>
      <c r="E30" s="14">
        <f>E15-E28</f>
        <v>255063</v>
      </c>
      <c r="F30" s="14">
        <f t="shared" si="3"/>
        <v>262994</v>
      </c>
      <c r="G30" s="14">
        <f t="shared" si="3"/>
        <v>132119</v>
      </c>
      <c r="H30" s="14">
        <f t="shared" si="3"/>
        <v>133602</v>
      </c>
      <c r="I30" s="14">
        <f>I15-I28</f>
        <v>450</v>
      </c>
      <c r="J30" s="14"/>
      <c r="K30" s="14">
        <f>K15-K28</f>
        <v>13000</v>
      </c>
      <c r="L30" s="14">
        <f>L15-L28</f>
        <v>22219</v>
      </c>
      <c r="M30" s="14">
        <f>M15-M28</f>
        <v>20752</v>
      </c>
      <c r="N30" s="14">
        <f>N15-N28</f>
        <v>12286</v>
      </c>
      <c r="O30" s="14">
        <f>O15-O28</f>
        <v>12879</v>
      </c>
      <c r="P30" s="14">
        <f t="shared" si="3"/>
        <v>4182</v>
      </c>
      <c r="Q30" s="14">
        <f t="shared" si="3"/>
        <v>45857</v>
      </c>
      <c r="R30" s="14">
        <f t="shared" si="3"/>
        <v>4830</v>
      </c>
      <c r="X30" s="14">
        <f t="shared" ref="X30" si="4">X15-X28</f>
        <v>6000</v>
      </c>
    </row>
    <row r="31" spans="1:34" ht="15.75" thickBot="1">
      <c r="A31" t="s">
        <v>114</v>
      </c>
      <c r="B31" s="64">
        <f>'FY10-11'!O4</f>
        <v>2209285</v>
      </c>
      <c r="C31" s="64">
        <f>'FY10-11'!O7</f>
        <v>240800</v>
      </c>
      <c r="D31" s="64">
        <f>'FY10-11'!O8</f>
        <v>233398</v>
      </c>
      <c r="E31">
        <f>'FY10-11'!O3</f>
        <v>213236</v>
      </c>
    </row>
    <row r="32" spans="1:34" ht="16.5" thickBot="1">
      <c r="A32" s="37" t="s">
        <v>115</v>
      </c>
      <c r="B32" s="62" t="e">
        <f>B30/B28</f>
        <v>#DIV/0!</v>
      </c>
      <c r="C32" s="62" t="e">
        <f t="shared" ref="C32:R32" si="5">C30/C28</f>
        <v>#DIV/0!</v>
      </c>
      <c r="D32" s="62" t="e">
        <f t="shared" si="5"/>
        <v>#DIV/0!</v>
      </c>
      <c r="E32" s="62" t="e">
        <f t="shared" si="5"/>
        <v>#DIV/0!</v>
      </c>
      <c r="F32" s="62" t="e">
        <f t="shared" si="5"/>
        <v>#DIV/0!</v>
      </c>
      <c r="G32" s="62" t="e">
        <f t="shared" si="5"/>
        <v>#DIV/0!</v>
      </c>
      <c r="H32" s="62" t="e">
        <f t="shared" si="5"/>
        <v>#DIV/0!</v>
      </c>
      <c r="I32" s="62" t="e">
        <f t="shared" si="5"/>
        <v>#DIV/0!</v>
      </c>
      <c r="J32" s="62" t="e">
        <f t="shared" si="5"/>
        <v>#DIV/0!</v>
      </c>
      <c r="K32" s="62" t="e">
        <f t="shared" si="5"/>
        <v>#DIV/0!</v>
      </c>
      <c r="L32" s="62" t="e">
        <f t="shared" si="5"/>
        <v>#DIV/0!</v>
      </c>
      <c r="M32" s="62" t="e">
        <f t="shared" si="5"/>
        <v>#DIV/0!</v>
      </c>
      <c r="N32" s="62" t="e">
        <f t="shared" si="5"/>
        <v>#DIV/0!</v>
      </c>
      <c r="O32" s="62" t="e">
        <f t="shared" si="5"/>
        <v>#DIV/0!</v>
      </c>
      <c r="P32" s="62" t="e">
        <f t="shared" si="5"/>
        <v>#DIV/0!</v>
      </c>
      <c r="Q32" s="62" t="e">
        <f t="shared" si="5"/>
        <v>#DIV/0!</v>
      </c>
      <c r="R32" s="62" t="e">
        <f t="shared" si="5"/>
        <v>#DIV/0!</v>
      </c>
    </row>
    <row r="34" spans="1:10" ht="15.75" thickBot="1"/>
    <row r="35" spans="1:10" ht="15.75" thickBot="1">
      <c r="A35" s="37" t="s">
        <v>116</v>
      </c>
      <c r="B35" s="65">
        <f>(B28-B31)/B31</f>
        <v>-1</v>
      </c>
      <c r="C35" s="66">
        <f t="shared" ref="C35:E35" si="6">(C28-C31)/C31</f>
        <v>-1</v>
      </c>
      <c r="D35" s="66">
        <f t="shared" si="6"/>
        <v>-1</v>
      </c>
      <c r="E35" s="67">
        <f t="shared" si="6"/>
        <v>-1</v>
      </c>
    </row>
    <row r="37" spans="1:10">
      <c r="I37">
        <f>22/42</f>
        <v>0.52380952380952384</v>
      </c>
      <c r="J37">
        <f>33/46</f>
        <v>0.71739130434782605</v>
      </c>
    </row>
    <row r="38" spans="1:10">
      <c r="B38">
        <v>35000</v>
      </c>
      <c r="D38">
        <v>8620</v>
      </c>
    </row>
    <row r="39" spans="1:10">
      <c r="B39">
        <v>1299</v>
      </c>
      <c r="D39">
        <v>1852335</v>
      </c>
    </row>
    <row r="40" spans="1:10">
      <c r="B40">
        <v>4926</v>
      </c>
      <c r="D40">
        <v>2710129</v>
      </c>
    </row>
    <row r="41" spans="1:10">
      <c r="B41">
        <v>6176</v>
      </c>
      <c r="D41">
        <v>21400</v>
      </c>
    </row>
    <row r="42" spans="1:10">
      <c r="B42">
        <v>3373382</v>
      </c>
      <c r="D42">
        <v>8000</v>
      </c>
    </row>
    <row r="43" spans="1:10">
      <c r="B43">
        <v>2840</v>
      </c>
      <c r="D43">
        <v>9000</v>
      </c>
    </row>
    <row r="44" spans="1:10">
      <c r="B44">
        <v>17684</v>
      </c>
      <c r="D44">
        <v>610</v>
      </c>
    </row>
    <row r="45" spans="1:10">
      <c r="B45">
        <v>146854</v>
      </c>
      <c r="D45">
        <v>41475</v>
      </c>
    </row>
    <row r="46" spans="1:10">
      <c r="B46">
        <v>47367</v>
      </c>
      <c r="D46" s="14">
        <f>SUM(D38:D45)</f>
        <v>4651569</v>
      </c>
    </row>
    <row r="47" spans="1:10">
      <c r="B47">
        <v>6000</v>
      </c>
    </row>
    <row r="48" spans="1:10">
      <c r="B48">
        <v>261345</v>
      </c>
    </row>
    <row r="49" spans="2:14">
      <c r="B49">
        <v>20746</v>
      </c>
    </row>
    <row r="50" spans="2:14">
      <c r="B50">
        <v>8639</v>
      </c>
    </row>
    <row r="51" spans="2:14">
      <c r="B51">
        <v>9266</v>
      </c>
    </row>
    <row r="52" spans="2:14">
      <c r="B52">
        <v>22000</v>
      </c>
    </row>
    <row r="53" spans="2:14">
      <c r="B53">
        <v>102368</v>
      </c>
    </row>
    <row r="54" spans="2:14">
      <c r="B54">
        <v>304400</v>
      </c>
    </row>
    <row r="55" spans="2:14">
      <c r="B55">
        <v>295692</v>
      </c>
    </row>
    <row r="56" spans="2:14">
      <c r="B56">
        <v>164511</v>
      </c>
      <c r="J56" t="s">
        <v>109</v>
      </c>
      <c r="L56" t="s">
        <v>112</v>
      </c>
      <c r="M56" t="s">
        <v>108</v>
      </c>
      <c r="N56" t="s">
        <v>113</v>
      </c>
    </row>
    <row r="57" spans="2:14">
      <c r="B57">
        <v>40450</v>
      </c>
      <c r="J57">
        <f>1450</f>
        <v>1450</v>
      </c>
      <c r="K57">
        <f>J57*12</f>
        <v>17400</v>
      </c>
      <c r="L57">
        <v>16400</v>
      </c>
      <c r="M57">
        <v>7800</v>
      </c>
      <c r="N57">
        <v>7500</v>
      </c>
    </row>
    <row r="58" spans="2:14">
      <c r="B58">
        <v>-219376</v>
      </c>
    </row>
    <row r="59" spans="2:14">
      <c r="K59">
        <f>K57*11</f>
        <v>191400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FY17-18 Inc</vt:lpstr>
      <vt:lpstr>Fy17-18 Exp</vt:lpstr>
      <vt:lpstr>FY16-17-Exp</vt:lpstr>
      <vt:lpstr>FY16-17-Inc</vt:lpstr>
      <vt:lpstr>FY15-16-Exp</vt:lpstr>
      <vt:lpstr>FY15-16-Inc</vt:lpstr>
      <vt:lpstr>FY14-15-Inc</vt:lpstr>
      <vt:lpstr>FY14-15-Exp</vt:lpstr>
      <vt:lpstr>FY13-14-Exp</vt:lpstr>
      <vt:lpstr>FY13-14-Income</vt:lpstr>
      <vt:lpstr>FY12-13-Exp</vt:lpstr>
      <vt:lpstr>FY12-13-Income</vt:lpstr>
      <vt:lpstr>FY11-12</vt:lpstr>
      <vt:lpstr>FY10-11</vt:lpstr>
      <vt:lpstr>Maintenance</vt:lpstr>
      <vt:lpstr>2018-19 Expenses</vt:lpstr>
      <vt:lpstr>2019-20 income </vt:lpstr>
      <vt:lpstr>2018-19 income</vt:lpstr>
      <vt:lpstr>2019-20 expenses (2)</vt:lpstr>
      <vt:lpstr>2020-21 expenses</vt:lpstr>
      <vt:lpstr>2020-21 income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sanjeevbr</dc:creator>
  <cp:lastModifiedBy>Sanjeev Bora</cp:lastModifiedBy>
  <cp:lastPrinted>2019-03-30T08:05:28Z</cp:lastPrinted>
  <dcterms:created xsi:type="dcterms:W3CDTF">2011-10-10T14:31:15Z</dcterms:created>
  <dcterms:modified xsi:type="dcterms:W3CDTF">2021-09-12T13:08:00Z</dcterms:modified>
</cp:coreProperties>
</file>